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0" windowWidth="14810" windowHeight="8010" activeTab="0"/>
  </bookViews>
  <sheets>
    <sheet name="Parameters and Analysis" sheetId="1" r:id="rId1"/>
    <sheet name="Model" sheetId="2" r:id="rId2"/>
    <sheet name="Compliance-Inpatient" sheetId="3" r:id="rId3"/>
    <sheet name="Compliance-Outpatient" sheetId="4" state="hidden" r:id="rId4"/>
    <sheet name="Data" sheetId="5" r:id="rId5"/>
    <sheet name="NPR" sheetId="6" r:id="rId6"/>
    <sheet name="UPL" sheetId="7" r:id="rId7"/>
  </sheets>
  <definedNames>
    <definedName name="_xlfn.AVERAGEIF" hidden="1">#NAME?</definedName>
    <definedName name="_xlfn.IFERROR" hidden="1">#NAME?</definedName>
    <definedName name="_xlnm.Print_Area" localSheetId="0">'Parameters and Analysis'!$A$1:$F$99</definedName>
    <definedName name="_xlnm.Print_Titles" localSheetId="4">'Data'!$C:$C,'Data'!$1:$5</definedName>
    <definedName name="_xlnm.Print_Titles" localSheetId="5">'NPR'!$C:$C,'NPR'!$1:$3</definedName>
  </definedNames>
  <calcPr fullCalcOnLoad="1"/>
</workbook>
</file>

<file path=xl/sharedStrings.xml><?xml version="1.0" encoding="utf-8"?>
<sst xmlns="http://schemas.openxmlformats.org/spreadsheetml/2006/main" count="942" uniqueCount="427">
  <si>
    <t>Hospital Name</t>
  </si>
  <si>
    <t>FYE Begin</t>
  </si>
  <si>
    <t>FYE End</t>
  </si>
  <si>
    <t>Hospital Type</t>
  </si>
  <si>
    <t>02-0017</t>
  </si>
  <si>
    <t>02-0008</t>
  </si>
  <si>
    <t>02-0024</t>
  </si>
  <si>
    <t>02-0012</t>
  </si>
  <si>
    <t>02-1311</t>
  </si>
  <si>
    <t>02-1304</t>
  </si>
  <si>
    <t>02-0001</t>
  </si>
  <si>
    <t>02-1306</t>
  </si>
  <si>
    <t>02-1303</t>
  </si>
  <si>
    <t>02-1313</t>
  </si>
  <si>
    <t>02-0006</t>
  </si>
  <si>
    <t>02-2001</t>
  </si>
  <si>
    <t>02-1302</t>
  </si>
  <si>
    <t>02-1305</t>
  </si>
  <si>
    <t>02-1307</t>
  </si>
  <si>
    <t>02-1301</t>
  </si>
  <si>
    <t>02-4002</t>
  </si>
  <si>
    <t>02-4001</t>
  </si>
  <si>
    <t>02-0026</t>
  </si>
  <si>
    <t>02-1312</t>
  </si>
  <si>
    <t>02-0018</t>
  </si>
  <si>
    <t>02-1309</t>
  </si>
  <si>
    <t>02-1310</t>
  </si>
  <si>
    <t>02-0027</t>
  </si>
  <si>
    <t>02-1308</t>
  </si>
  <si>
    <t>Alaska Regional Hospital</t>
  </si>
  <si>
    <t>Bartlett Regional Hospital</t>
  </si>
  <si>
    <t>Central Peninsula General Hospital</t>
  </si>
  <si>
    <t>Fairbanks Memorial Hospital</t>
  </si>
  <si>
    <t>PeaceHealth Ketchikan Medical Center</t>
  </si>
  <si>
    <t>Petersburg Medical Center</t>
  </si>
  <si>
    <t>Providence Alaska Medical Center</t>
  </si>
  <si>
    <t>Sitka Community Hospital</t>
  </si>
  <si>
    <t>South Peninsula Hospital</t>
  </si>
  <si>
    <t>Mat-Su Regional Medical Center</t>
  </si>
  <si>
    <t>St. Elias Specialty Hospital</t>
  </si>
  <si>
    <t>Providence Seward Medical &amp; Care Center</t>
  </si>
  <si>
    <t>Wrangell Medical Center</t>
  </si>
  <si>
    <t>Cordova Community Medical Ctr.</t>
  </si>
  <si>
    <t>Providence Valdez Medical Ctr.</t>
  </si>
  <si>
    <t>Alaska Psychiatric Institute</t>
  </si>
  <si>
    <t>North Star Hospital</t>
  </si>
  <si>
    <t>Alaska Native Medical Center</t>
  </si>
  <si>
    <t>Samuel Simmonds Memorial Hospital</t>
  </si>
  <si>
    <t>Yukon-Kuskokwim Regional</t>
  </si>
  <si>
    <t>Bristol Bay/Kanakanak</t>
  </si>
  <si>
    <t>Maniilaq Medical Health Center</t>
  </si>
  <si>
    <t>Mt. Edgecumbe/SEARHC</t>
  </si>
  <si>
    <t>Norton Sound Regional Hospital</t>
  </si>
  <si>
    <t>General Acute Care</t>
  </si>
  <si>
    <t>Long Term Acute Care</t>
  </si>
  <si>
    <t>Critical Access Hospital</t>
  </si>
  <si>
    <t>Medicare ID</t>
  </si>
  <si>
    <t>Medicaid ID</t>
  </si>
  <si>
    <t>FY Days</t>
  </si>
  <si>
    <t>Total A&amp;P</t>
  </si>
  <si>
    <t>Sub IPF</t>
  </si>
  <si>
    <t>Sub IRF</t>
  </si>
  <si>
    <t>Sub Oth.</t>
  </si>
  <si>
    <t>Labor &amp; Delivery Days</t>
  </si>
  <si>
    <t>Swing Beds SNF</t>
  </si>
  <si>
    <t>Swing Beds NF</t>
  </si>
  <si>
    <t>Empl. Discount Days</t>
  </si>
  <si>
    <t>Empl. Discount Days - IRF</t>
  </si>
  <si>
    <t>Line 14</t>
  </si>
  <si>
    <t>Line 16</t>
  </si>
  <si>
    <t>Line 17</t>
  </si>
  <si>
    <t>Line 18</t>
  </si>
  <si>
    <t>Line 30</t>
  </si>
  <si>
    <t>Line 31</t>
  </si>
  <si>
    <t>Line 32</t>
  </si>
  <si>
    <t>Line 5</t>
  </si>
  <si>
    <t>Line 6</t>
  </si>
  <si>
    <t>Line 2</t>
  </si>
  <si>
    <t>Line 3</t>
  </si>
  <si>
    <t>Line 4</t>
  </si>
  <si>
    <t>HMO</t>
  </si>
  <si>
    <t>HMO IPF</t>
  </si>
  <si>
    <t>HMO IRF</t>
  </si>
  <si>
    <t>Number of Beds, W/S S-3, Part I, Col 2</t>
  </si>
  <si>
    <t>Medicare Days, W/S S-3, Part I, Col 6</t>
  </si>
  <si>
    <t>Medicaid Days, W/S S-3, Part I, Col 7</t>
  </si>
  <si>
    <t>Total Days, W/S S-3, Part I, Col 8</t>
  </si>
  <si>
    <t>Column 6</t>
  </si>
  <si>
    <t>Column 7</t>
  </si>
  <si>
    <t>Inpatient</t>
  </si>
  <si>
    <t>Outpatient</t>
  </si>
  <si>
    <t>Charges, W/S C Part I, Line 200</t>
  </si>
  <si>
    <t>Total Pat. Rev.</t>
  </si>
  <si>
    <t>Net Pat. Rev.</t>
  </si>
  <si>
    <t>Net Income</t>
  </si>
  <si>
    <t>Revenues, W/S G-3, Column 1</t>
  </si>
  <si>
    <t>Line 1</t>
  </si>
  <si>
    <t>Ownership (Type of Control)</t>
  </si>
  <si>
    <t>Ln 21, Col 1</t>
  </si>
  <si>
    <t>W/S S-2, Pt I</t>
  </si>
  <si>
    <t>Total Days</t>
  </si>
  <si>
    <t>Inpatient Charges</t>
  </si>
  <si>
    <t>RPC</t>
  </si>
  <si>
    <t>CAH</t>
  </si>
  <si>
    <t>4 - Proprietary, Corporation</t>
  </si>
  <si>
    <t>8 - Governmental, City-County</t>
  </si>
  <si>
    <t>2 - Voluntary Nonprofit, Other</t>
  </si>
  <si>
    <t>1 - Voluntary Nonprofit, Church</t>
  </si>
  <si>
    <t>12 - Governmental, City</t>
  </si>
  <si>
    <t>5 - Proprietary, Partnership</t>
  </si>
  <si>
    <t>6 - Proprietary, Other</t>
  </si>
  <si>
    <t>11 - Governmental, Hospital District</t>
  </si>
  <si>
    <t>TOTAL</t>
  </si>
  <si>
    <t>Inpatient Assessment</t>
  </si>
  <si>
    <t>Ownership</t>
  </si>
  <si>
    <t>SGO</t>
  </si>
  <si>
    <t>Private</t>
  </si>
  <si>
    <t>NSGO</t>
  </si>
  <si>
    <t>Providence Kodiak Island Medical Center</t>
  </si>
  <si>
    <t>Specialized Hospital</t>
  </si>
  <si>
    <t>Included</t>
  </si>
  <si>
    <t>Exempt</t>
  </si>
  <si>
    <t>Status</t>
  </si>
  <si>
    <t>a</t>
  </si>
  <si>
    <t>b</t>
  </si>
  <si>
    <t>c</t>
  </si>
  <si>
    <t>d</t>
  </si>
  <si>
    <t>e</t>
  </si>
  <si>
    <t>f</t>
  </si>
  <si>
    <t>g</t>
  </si>
  <si>
    <t>h</t>
  </si>
  <si>
    <t>i</t>
  </si>
  <si>
    <t>Total Payments</t>
  </si>
  <si>
    <t>k</t>
  </si>
  <si>
    <t>l</t>
  </si>
  <si>
    <t>Exempt Status (Included/ Exempt)</t>
  </si>
  <si>
    <t>7 - Governmental, Federal</t>
  </si>
  <si>
    <t>Federal</t>
  </si>
  <si>
    <t>Combined Facility (with NF)</t>
  </si>
  <si>
    <t>Y</t>
  </si>
  <si>
    <t>N</t>
  </si>
  <si>
    <t>Hospital</t>
  </si>
  <si>
    <t>Subprovider - IPF</t>
  </si>
  <si>
    <t>Subprovider - IRF</t>
  </si>
  <si>
    <t>Swing Bed - SNF</t>
  </si>
  <si>
    <t>Skilled Nursing Facility</t>
  </si>
  <si>
    <t>Total General Inpatient Care Services</t>
  </si>
  <si>
    <t>ICU</t>
  </si>
  <si>
    <t>NICU</t>
  </si>
  <si>
    <t>CCU</t>
  </si>
  <si>
    <t>Neonatal ICU</t>
  </si>
  <si>
    <t>Ancillary Services</t>
  </si>
  <si>
    <t>Outpatient Services</t>
  </si>
  <si>
    <t>Rural Health Clinic</t>
  </si>
  <si>
    <t>Home Health Agency</t>
  </si>
  <si>
    <t>Ambulance Services</t>
  </si>
  <si>
    <t>Hospice</t>
  </si>
  <si>
    <t/>
  </si>
  <si>
    <t>Row</t>
  </si>
  <si>
    <t>Column</t>
  </si>
  <si>
    <t>Total Intensive Care Type Inpatient hospital Services (sum of 11-15)</t>
  </si>
  <si>
    <t>Total Inpatient Routine Care Services (sum of 10 &amp; 16)</t>
  </si>
  <si>
    <t>Other (specify)</t>
  </si>
  <si>
    <t>Total Patient Revenues</t>
  </si>
  <si>
    <t>INPATIENT
G-2 Column 1</t>
  </si>
  <si>
    <t>OUTPATIENT
G-2 Column 2</t>
  </si>
  <si>
    <t>Annualized</t>
  </si>
  <si>
    <t>Inpatient Gross</t>
  </si>
  <si>
    <t>Outpatient Gross</t>
  </si>
  <si>
    <t>Total IP and OP Gross</t>
  </si>
  <si>
    <r>
      <t xml:space="preserve">Sum of Yellow Shaded Columns - </t>
    </r>
    <r>
      <rPr>
        <u val="single"/>
        <sz val="10"/>
        <color indexed="8"/>
        <rFont val="Arial"/>
        <family val="2"/>
      </rPr>
      <t>Inpatient Gross</t>
    </r>
  </si>
  <si>
    <r>
      <t xml:space="preserve">Sum of Green Shaded Columns - </t>
    </r>
    <r>
      <rPr>
        <u val="single"/>
        <sz val="10"/>
        <color indexed="8"/>
        <rFont val="Arial"/>
        <family val="2"/>
      </rPr>
      <t>Outpatient Gross</t>
    </r>
  </si>
  <si>
    <r>
      <t>Sum of Orange Shaded Columns -</t>
    </r>
    <r>
      <rPr>
        <u val="single"/>
        <sz val="10"/>
        <color indexed="8"/>
        <rFont val="Arial"/>
        <family val="2"/>
      </rPr>
      <t xml:space="preserve"> IP and OP Gross</t>
    </r>
  </si>
  <si>
    <t>Net Patient Revenue (NPR), W/S G-3</t>
  </si>
  <si>
    <t>Net Patient Revenue (NPR)</t>
  </si>
  <si>
    <t>Inpatient NPR for Tax Model</t>
  </si>
  <si>
    <t>Outpatient NPR for Tax Model</t>
  </si>
  <si>
    <t>Outpatient Assessment</t>
  </si>
  <si>
    <t>Inpatient Basis:</t>
  </si>
  <si>
    <t>Outpatient Basis:</t>
  </si>
  <si>
    <t>Outpatient Equivalent Days</t>
  </si>
  <si>
    <t>Medicaid Days</t>
  </si>
  <si>
    <t>Medicare Days</t>
  </si>
  <si>
    <t>Non Medicare Days</t>
  </si>
  <si>
    <t>Outpatient Charges</t>
  </si>
  <si>
    <t>Inpatient NPR</t>
  </si>
  <si>
    <t>Outpatient NPR</t>
  </si>
  <si>
    <t>Inpatient Revenue</t>
  </si>
  <si>
    <t>Inpatient Revenue/Day</t>
  </si>
  <si>
    <t>Outpatient Revenue</t>
  </si>
  <si>
    <t>Medicaid Inpatient Days</t>
  </si>
  <si>
    <t>Medicaid Equivalent Outpatient Days</t>
  </si>
  <si>
    <t>Inpatient Net Patient Revenue</t>
  </si>
  <si>
    <t>Outpatient Net Patient Revenue</t>
  </si>
  <si>
    <t>Total Net Patient Revenue</t>
  </si>
  <si>
    <t>W/S G-2:</t>
  </si>
  <si>
    <t>SNF Ancillary Calculation</t>
  </si>
  <si>
    <t>SNF % of Routine</t>
  </si>
  <si>
    <t>SNF Ancillary Revenue</t>
  </si>
  <si>
    <t>Inpatient Fee Units</t>
  </si>
  <si>
    <t>Outpatient Fee Units</t>
  </si>
  <si>
    <t>IP-1</t>
  </si>
  <si>
    <t>IP-2</t>
  </si>
  <si>
    <t>IP-3</t>
  </si>
  <si>
    <t>IP-4</t>
  </si>
  <si>
    <t>OP-1</t>
  </si>
  <si>
    <t>OP-2</t>
  </si>
  <si>
    <t>j</t>
  </si>
  <si>
    <t>Total Assessment</t>
  </si>
  <si>
    <t>Total Inpatient Units</t>
  </si>
  <si>
    <t>Ratio</t>
  </si>
  <si>
    <t>Medicaid Inpatient Charges</t>
  </si>
  <si>
    <t>Medicaid Outpatient Charges</t>
  </si>
  <si>
    <t>Medicaid Inpatient NPR</t>
  </si>
  <si>
    <t>Medicaid Outpatient NPR</t>
  </si>
  <si>
    <t>IP Tax Factor</t>
  </si>
  <si>
    <t>OP Tax Factor</t>
  </si>
  <si>
    <t>Data Col.</t>
  </si>
  <si>
    <t>Medicaid Units</t>
  </si>
  <si>
    <t>Medicaid Col.</t>
  </si>
  <si>
    <t>B1 Statistic</t>
  </si>
  <si>
    <t>B2 Statistic</t>
  </si>
  <si>
    <t>B1 Slope</t>
  </si>
  <si>
    <t>B2 Slope</t>
  </si>
  <si>
    <t>B1/B2 Ratio</t>
  </si>
  <si>
    <t>Net Impact - Profit (Loss)</t>
  </si>
  <si>
    <t>Total Outpatient Units</t>
  </si>
  <si>
    <t>Data Validation Lists</t>
  </si>
  <si>
    <t>Fee Factor</t>
  </si>
  <si>
    <t>Reduced Fee Option</t>
  </si>
  <si>
    <t>Included/Exempt Status</t>
  </si>
  <si>
    <t>Assessment Rates</t>
  </si>
  <si>
    <t>General</t>
  </si>
  <si>
    <t>Rate Type</t>
  </si>
  <si>
    <t>COMPLIANCE TESTS</t>
  </si>
  <si>
    <t>Totals</t>
  </si>
  <si>
    <t>6% Threshold</t>
  </si>
  <si>
    <t>Modeled Assessment</t>
  </si>
  <si>
    <t>FINANCIAL ANALYSIS</t>
  </si>
  <si>
    <t>Assessment Basis</t>
  </si>
  <si>
    <t>High Medicaid</t>
  </si>
  <si>
    <t>2:  Total Patient Days</t>
  </si>
  <si>
    <t>3:  Non-Medicare Patient Days</t>
  </si>
  <si>
    <t>1:  Outpatient Equivalent Days</t>
  </si>
  <si>
    <t>Assessment Rate Tiers</t>
  </si>
  <si>
    <t>Tier Factor</t>
  </si>
  <si>
    <t>Per Bed 
($ Rate):</t>
  </si>
  <si>
    <t>Per Day 
($ Rate):</t>
  </si>
  <si>
    <t>Revenue 
(% Rate):</t>
  </si>
  <si>
    <t>All hospitals except those meeting the criteria below</t>
  </si>
  <si>
    <t>Critical Access Hospitals</t>
  </si>
  <si>
    <t>B1/B2</t>
  </si>
  <si>
    <t>B1</t>
  </si>
  <si>
    <t>B2</t>
  </si>
  <si>
    <t>UPL Group</t>
  </si>
  <si>
    <t>UPL</t>
  </si>
  <si>
    <t>Medicaid Payments</t>
  </si>
  <si>
    <t>Under/(Over) UPL</t>
  </si>
  <si>
    <t>State</t>
  </si>
  <si>
    <t>State Total</t>
  </si>
  <si>
    <t>NSGO Total</t>
  </si>
  <si>
    <t>Private Total</t>
  </si>
  <si>
    <t>Grand Total</t>
  </si>
  <si>
    <t>Average Provider Impact</t>
  </si>
  <si>
    <t>Number of Providers with Net Gain</t>
  </si>
  <si>
    <t>Number of Providers with Net Loss</t>
  </si>
  <si>
    <t>Number of Providers with 0 Impact</t>
  </si>
  <si>
    <t>Avg Gain</t>
  </si>
  <si>
    <t>Max Gain</t>
  </si>
  <si>
    <t>Avg Loss</t>
  </si>
  <si>
    <t>Max Loss</t>
  </si>
  <si>
    <t>Medicaid IP Charges %</t>
  </si>
  <si>
    <t>Medicaid OP Charges %</t>
  </si>
  <si>
    <t>Medicaid IP NPR %</t>
  </si>
  <si>
    <t>Medicaid OP NPR %</t>
  </si>
  <si>
    <t>Total</t>
  </si>
  <si>
    <t>API</t>
  </si>
  <si>
    <t>Other</t>
  </si>
  <si>
    <t>Medicaid Volume (days)</t>
  </si>
  <si>
    <t>Medicaid Days % of Total Medicaid Days</t>
  </si>
  <si>
    <t>Specialized Hospital-State</t>
  </si>
  <si>
    <t>Estimated Outpatient Payment Increase</t>
  </si>
  <si>
    <t>NOTES:</t>
  </si>
  <si>
    <t>1.  The 9/30/13 cost report for Alaska Native Medical Center was used because the 9/30/14 cost report is not available.</t>
  </si>
  <si>
    <t>Exempt Status</t>
  </si>
  <si>
    <t>Included Hospitals</t>
  </si>
  <si>
    <t>2.  Certain hospitals did not input revenue information in cost report worksheets G-2 and G-3.  In these cases, worksheet C charges is used as a proxy for patient revenue.</t>
  </si>
  <si>
    <t>3.  Outpatient equivalent days are calculated based on inpatient revenue and days information in order to develop a "per day" outpatient tax statistic.</t>
  </si>
  <si>
    <t>Medicaid Statistics</t>
  </si>
  <si>
    <t>4.  Medicaid charges obtained from MR-O-14 reports for 2010-2012.  Data is trended forward to 2014.  For hospitals without Medicaid charges on the MR-O-14 reports, Medicaid charges are calculated using the ratio of Medicaid charges to total charges for all other hospitals.</t>
  </si>
  <si>
    <t>5.  Medicaid NPR calculated by applying the ratio of Medicaid charges and total charges to total NPR.</t>
  </si>
  <si>
    <t>UPL Summary</t>
  </si>
  <si>
    <t>NPR Taxable Providers</t>
  </si>
  <si>
    <t>Tribes</t>
  </si>
  <si>
    <t>2:  % of Net Patient Revenue (Outpatient)</t>
  </si>
  <si>
    <t>3:  None</t>
  </si>
  <si>
    <t>Rate Tier Criteria</t>
  </si>
  <si>
    <t>Hospitals with Medicaid volume above:</t>
  </si>
  <si>
    <t>Small Hospital</t>
  </si>
  <si>
    <t>Number of Beds</t>
  </si>
  <si>
    <t>Hospitals with less than the following # of beds:</t>
  </si>
  <si>
    <t>B1/B2 Test</t>
  </si>
  <si>
    <t>P1/P2 test not required for non-uniform model</t>
  </si>
  <si>
    <t>State Funds</t>
  </si>
  <si>
    <t>All Funds</t>
  </si>
  <si>
    <t>Percent of NPR</t>
  </si>
  <si>
    <t>Estimated New Medicaid Funding Available</t>
  </si>
  <si>
    <t>Total Estimated UPL Gap</t>
  </si>
  <si>
    <t>Variable parameters</t>
  </si>
  <si>
    <t>Net Change to Provider Revenue</t>
  </si>
  <si>
    <t>PROVIDER FISCAL IMPACT ANALYSIS</t>
  </si>
  <si>
    <t>Distribution of New Funding Applied to UPL Gap</t>
  </si>
  <si>
    <t>UPL Payments</t>
  </si>
  <si>
    <t>Other Enhancements</t>
  </si>
  <si>
    <t>Quality Payments</t>
  </si>
  <si>
    <t>Inpatient - Private</t>
  </si>
  <si>
    <t>Inpatient - NSGO</t>
  </si>
  <si>
    <t>Outpatient - Private</t>
  </si>
  <si>
    <t>Outpatient - NSGO</t>
  </si>
  <si>
    <t>Total Private and NSGO</t>
  </si>
  <si>
    <t>Estimated Inpatient Payment Increase(a)</t>
  </si>
  <si>
    <t>The UPL Payment amount is each provider's share of the UPL Payment Funding for the ownership group they belong to based on</t>
  </si>
  <si>
    <t>Medicaid days for all private (P) facilities, and then multiplying that answer by the UPL Payment Funding for all private facilties.</t>
  </si>
  <si>
    <t>UPL Payment Funding - Private Facilities</t>
  </si>
  <si>
    <t>Provider 1 UPL Payment</t>
  </si>
  <si>
    <t>Total Column L for Private Facilities</t>
  </si>
  <si>
    <t>(a)   UPL Payment Distribution Calculation</t>
  </si>
  <si>
    <t>Assessed Inpatient Units</t>
  </si>
  <si>
    <t>Assessed Outpatient Units</t>
  </si>
  <si>
    <t>% of Private Facility Medicaid Days</t>
  </si>
  <si>
    <t>Estimated Assessment Revenue</t>
  </si>
  <si>
    <t>Additional Medicaid Funding Available for Administrative Costs, DSH, and Other Programs (State Profit)</t>
  </si>
  <si>
    <t>02-1111</t>
  </si>
  <si>
    <t>02-2222</t>
  </si>
  <si>
    <t>02-3333</t>
  </si>
  <si>
    <t>Parameters and Analysis</t>
  </si>
  <si>
    <t>Alaska Hospital Provider Assessment Model</t>
  </si>
  <si>
    <t>ASSESSMENT PARAMETERS</t>
  </si>
  <si>
    <t>Average Hospital Information</t>
  </si>
  <si>
    <t>Example Hospital A</t>
  </si>
  <si>
    <t>Example Hospital B</t>
  </si>
  <si>
    <t>Example Hospital C</t>
  </si>
  <si>
    <t>Date Prepared:</t>
  </si>
  <si>
    <t>Version:</t>
  </si>
  <si>
    <t>% of New Funding Applied to UPL Gap</t>
  </si>
  <si>
    <t>Estimated Inpatient UPL Gap</t>
  </si>
  <si>
    <t>Estimated Outpatient UPL Gap</t>
  </si>
  <si>
    <t>Example Hospital A - High Medicaid</t>
  </si>
  <si>
    <t>Medicaid days. For example the UPL Payment for Provider 1 is determined by dividing their Medicaid days by the total</t>
  </si>
  <si>
    <t>B1/B2 Compliance Test (Inpatient)</t>
  </si>
  <si>
    <t>B1/B2 Compliance Test (Outpatient)</t>
  </si>
  <si>
    <t>Data</t>
  </si>
  <si>
    <t>Net Patient Revenue</t>
  </si>
  <si>
    <t>Example Hospital B - General</t>
  </si>
  <si>
    <t>Example Hospital C - Small Hospital</t>
  </si>
  <si>
    <t>Applies Alaska 50% FMAP Rate</t>
  </si>
  <si>
    <t>Example Hospital A Medicaid Days</t>
  </si>
  <si>
    <t>Provider 1 Medicaid Days</t>
  </si>
  <si>
    <t>Fee Model (Source: 2014 Cost Reports)</t>
  </si>
  <si>
    <t>1:  Number of Beds</t>
  </si>
  <si>
    <t>TOTAL (excl. L&amp;D, swing bed)</t>
  </si>
  <si>
    <t>TOTAL (incl. L&amp;D, swing bed)</t>
  </si>
  <si>
    <t>TOTAL (excl. HMO, L&amp;D, swing bed)</t>
  </si>
  <si>
    <t>Medicare Discharges, W/S S-3, Part I, Col 13</t>
  </si>
  <si>
    <t>Medicaid Discharges, W/S S-3, Part I, Col 14</t>
  </si>
  <si>
    <t>Total Discharges, W/S S-3, Part I, Col 15</t>
  </si>
  <si>
    <t>Non-Medicare Discharges</t>
  </si>
  <si>
    <t>Medicare Charges, W/S D-3, Column 2</t>
  </si>
  <si>
    <t>Medicare % of Total Charges</t>
  </si>
  <si>
    <t>Non-Medicare Inpatient NPR</t>
  </si>
  <si>
    <t>Non-Medicare Outpatient NPR</t>
  </si>
  <si>
    <t>6.  Certain hospitals did not input Medicare revenue information on cost report worksheet D-3.  TO compute the non-Medicare NPR for these hospitals, the average Medicare % of total charges for all other hospitals was used.</t>
  </si>
  <si>
    <t>Non Medicare Net Patient Revenue</t>
  </si>
  <si>
    <t>5:  % of Non-Medicare NPR (Inpatient)</t>
  </si>
  <si>
    <t>4:  % of NPR (Inpatient)</t>
  </si>
  <si>
    <t>6:  Total Discharges</t>
  </si>
  <si>
    <t>7:  Non-Medicare Discharges</t>
  </si>
  <si>
    <t>IP-5</t>
  </si>
  <si>
    <t>IP-6</t>
  </si>
  <si>
    <t>IP-7</t>
  </si>
  <si>
    <t>Per Discharge
($ Rate):</t>
  </si>
  <si>
    <t>"Data Column" reference for formulas in Model and Compliance tabs</t>
  </si>
  <si>
    <t>Upper Payment Limit Estimate</t>
  </si>
  <si>
    <t>1.  Inpatient UPL is based on CMI-adjusted Medicare per-discharge methodology, except for Alaska Psychiatric Institute, which is calculated using a cost-based methodology.</t>
  </si>
  <si>
    <t>TOTAL Non Medicare Days (excl. L&amp;D, swing bed)</t>
  </si>
  <si>
    <t>TOTAL Non Medicare Days (incl. L&amp;D, swing bed)</t>
  </si>
  <si>
    <t>Medicaid</t>
  </si>
  <si>
    <t>Days</t>
  </si>
  <si>
    <t>2.  Excludes tribal facilities per 42 CFR 447.272 and 447.321</t>
  </si>
  <si>
    <t>02-1128</t>
  </si>
  <si>
    <t>Hospital 18</t>
  </si>
  <si>
    <t>02-1113</t>
  </si>
  <si>
    <t>Hospital 3</t>
  </si>
  <si>
    <t>02-1116</t>
  </si>
  <si>
    <t>Hospital 6</t>
  </si>
  <si>
    <t>02-1117</t>
  </si>
  <si>
    <t>Hospital 7</t>
  </si>
  <si>
    <t>02-1118</t>
  </si>
  <si>
    <t>Hospital 8</t>
  </si>
  <si>
    <t>02-1119</t>
  </si>
  <si>
    <t>Hospital 9</t>
  </si>
  <si>
    <t>02-1120</t>
  </si>
  <si>
    <t>Hospital 10</t>
  </si>
  <si>
    <t>02-1121</t>
  </si>
  <si>
    <t>Hospital 11</t>
  </si>
  <si>
    <t>02-1123</t>
  </si>
  <si>
    <t>Hospital 13</t>
  </si>
  <si>
    <t>02-1124</t>
  </si>
  <si>
    <t>Hospital 14</t>
  </si>
  <si>
    <t>02-1125</t>
  </si>
  <si>
    <t>Hospital 15</t>
  </si>
  <si>
    <t>Hospital 1</t>
  </si>
  <si>
    <t>02-1112</t>
  </si>
  <si>
    <t>Hospital 2</t>
  </si>
  <si>
    <t>02-1114</t>
  </si>
  <si>
    <t>Hospital 4</t>
  </si>
  <si>
    <t>02-1115</t>
  </si>
  <si>
    <t>Hospital 5</t>
  </si>
  <si>
    <t>02-1122</t>
  </si>
  <si>
    <t>Hospital 12</t>
  </si>
  <si>
    <t>02-1126</t>
  </si>
  <si>
    <t>Hospital 16</t>
  </si>
  <si>
    <t>02-1127</t>
  </si>
  <si>
    <t>Hospital 17</t>
  </si>
  <si>
    <t>Total Medicaid Days for Private Facilities</t>
  </si>
  <si>
    <t>Tribal Facility</t>
  </si>
  <si>
    <t>Military Facility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</si>
</sst>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_(&quot;$&quot;* #,##0_);_(&quot;$&quot;* \(#,##0\);_(&quot;$&quot;* &quot;-&quot;??_);_(@_)"/>
    <numFmt numFmtId="166" formatCode="m/d/yy;@"/>
    <numFmt numFmtId="167" formatCode="#,##0.00000000_);\(#,##0.00000000\)"/>
    <numFmt numFmtId="168" formatCode="#,##0.00000_);\(#,##0.00000\)"/>
    <numFmt numFmtId="169" formatCode="0.00000000"/>
    <numFmt numFmtId="170" formatCode="&quot;$&quot;#,##0"/>
    <numFmt numFmtId="171" formatCode="_(* #,##0_);_(* \(#,##0\);_(* &quot;-&quot;??_);_(@_)"/>
    <numFmt numFmtId="172" formatCode="0.0"/>
  </numFmts>
  <fonts count="84">
    <font>
      <sz val="11"/>
      <color theme="1"/>
      <name val="Calibri"/>
      <family val="2"/>
    </font>
    <font>
      <sz val="11"/>
      <color indexed="8"/>
      <name val="Calibri"/>
      <family val="2"/>
    </font>
    <font>
      <sz val="10"/>
      <color indexed="8"/>
      <name val="Arial"/>
      <family val="2"/>
    </font>
    <font>
      <b/>
      <sz val="10"/>
      <color indexed="8"/>
      <name val="Arial"/>
      <family val="2"/>
    </font>
    <font>
      <i/>
      <sz val="10"/>
      <color indexed="8"/>
      <name val="Arial"/>
      <family val="2"/>
    </font>
    <font>
      <b/>
      <i/>
      <sz val="10"/>
      <color indexed="8"/>
      <name val="Arial"/>
      <family val="2"/>
    </font>
    <font>
      <b/>
      <sz val="10"/>
      <color indexed="10"/>
      <name val="Arial"/>
      <family val="2"/>
    </font>
    <font>
      <sz val="10"/>
      <color indexed="10"/>
      <name val="Arial"/>
      <family val="2"/>
    </font>
    <font>
      <sz val="11"/>
      <color indexed="8"/>
      <name val="Arial"/>
      <family val="2"/>
    </font>
    <font>
      <b/>
      <sz val="8"/>
      <color indexed="8"/>
      <name val="Arial"/>
      <family val="2"/>
    </font>
    <font>
      <u val="single"/>
      <sz val="10"/>
      <color indexed="8"/>
      <name val="Arial"/>
      <family val="2"/>
    </font>
    <font>
      <sz val="10"/>
      <color indexed="55"/>
      <name val="Arial"/>
      <family val="2"/>
    </font>
    <font>
      <sz val="10"/>
      <name val="Arial"/>
      <family val="2"/>
    </font>
    <font>
      <b/>
      <sz val="9"/>
      <color indexed="8"/>
      <name val="Arial"/>
      <family val="2"/>
    </font>
    <font>
      <sz val="9"/>
      <color indexed="8"/>
      <name val="Arial"/>
      <family val="2"/>
    </font>
    <font>
      <b/>
      <u val="single"/>
      <sz val="9"/>
      <color indexed="8"/>
      <name val="Arial"/>
      <family val="2"/>
    </font>
    <font>
      <b/>
      <sz val="10"/>
      <name val="Arial"/>
      <family val="2"/>
    </font>
    <font>
      <b/>
      <i/>
      <sz val="9"/>
      <color indexed="8"/>
      <name val="Arial"/>
      <family val="2"/>
    </font>
    <font>
      <b/>
      <sz val="9"/>
      <color indexed="10"/>
      <name val="Arial"/>
      <family val="2"/>
    </font>
    <font>
      <b/>
      <sz val="9"/>
      <name val="Arial"/>
      <family val="2"/>
    </font>
    <font>
      <u val="singleAccounting"/>
      <sz val="10"/>
      <color indexed="8"/>
      <name val="Arial"/>
      <family val="2"/>
    </font>
    <font>
      <u val="doubleAccounting"/>
      <sz val="10"/>
      <color indexed="8"/>
      <name val="Arial"/>
      <family val="2"/>
    </font>
    <font>
      <b/>
      <sz val="12"/>
      <color indexed="8"/>
      <name val="Arial"/>
      <family val="2"/>
    </font>
    <font>
      <b/>
      <sz val="16"/>
      <color indexed="8"/>
      <name val="Arial"/>
      <family val="2"/>
    </font>
    <font>
      <b/>
      <i/>
      <sz val="10"/>
      <color indexed="49"/>
      <name val="Arial"/>
      <family val="2"/>
    </font>
    <font>
      <sz val="10"/>
      <color indexed="49"/>
      <name val="Arial"/>
      <family val="2"/>
    </font>
    <font>
      <b/>
      <sz val="8"/>
      <color indexed="9"/>
      <name val="Arial"/>
      <family val="2"/>
    </font>
    <font>
      <sz val="8"/>
      <color indexed="9"/>
      <name val="Arial"/>
      <family val="2"/>
    </font>
    <font>
      <strike/>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i/>
      <sz val="10"/>
      <color theme="1"/>
      <name val="Arial"/>
      <family val="2"/>
    </font>
    <font>
      <b/>
      <i/>
      <sz val="10"/>
      <color theme="1"/>
      <name val="Arial"/>
      <family val="2"/>
    </font>
    <font>
      <b/>
      <sz val="9"/>
      <color theme="1"/>
      <name val="Arial"/>
      <family val="2"/>
    </font>
    <font>
      <b/>
      <sz val="12"/>
      <color theme="1"/>
      <name val="Arial"/>
      <family val="2"/>
    </font>
    <font>
      <b/>
      <sz val="16"/>
      <color theme="1"/>
      <name val="Arial"/>
      <family val="2"/>
    </font>
    <font>
      <b/>
      <i/>
      <sz val="10"/>
      <color rgb="FF9CC5CA"/>
      <name val="Arial"/>
      <family val="2"/>
    </font>
    <font>
      <sz val="10"/>
      <color rgb="FF9CC5CA"/>
      <name val="Arial"/>
      <family val="2"/>
    </font>
    <font>
      <sz val="9"/>
      <color theme="1"/>
      <name val="Arial"/>
      <family val="2"/>
    </font>
    <font>
      <u val="singleAccounting"/>
      <sz val="10"/>
      <color theme="1"/>
      <name val="Arial"/>
      <family val="2"/>
    </font>
    <font>
      <u val="doubleAccounting"/>
      <sz val="10"/>
      <color theme="1"/>
      <name val="Arial"/>
      <family val="2"/>
    </font>
    <font>
      <b/>
      <u val="single"/>
      <sz val="9"/>
      <color theme="1"/>
      <name val="Arial"/>
      <family val="2"/>
    </font>
    <font>
      <sz val="10"/>
      <color theme="0" tint="-0.3499799966812134"/>
      <name val="Arial"/>
      <family val="2"/>
    </font>
    <font>
      <b/>
      <i/>
      <sz val="9"/>
      <color theme="1"/>
      <name val="Arial"/>
      <family val="2"/>
    </font>
    <font>
      <b/>
      <sz val="9"/>
      <color rgb="FFFF0000"/>
      <name val="Arial"/>
      <family val="2"/>
    </font>
    <font>
      <b/>
      <sz val="8"/>
      <color theme="0"/>
      <name val="Arial"/>
      <family val="2"/>
    </font>
    <font>
      <sz val="8"/>
      <color theme="0"/>
      <name val="Arial"/>
      <family val="2"/>
    </font>
    <font>
      <b/>
      <sz val="8"/>
      <color theme="1"/>
      <name val="Arial"/>
      <family val="2"/>
    </font>
    <font>
      <b/>
      <sz val="10"/>
      <color rgb="FFFF0000"/>
      <name val="Arial"/>
      <family val="2"/>
    </font>
    <font>
      <sz val="11"/>
      <color theme="1"/>
      <name val="Arial"/>
      <family val="2"/>
    </font>
    <font>
      <sz val="10"/>
      <color rgb="FFFF0000"/>
      <name val="Arial"/>
      <family val="2"/>
    </font>
    <font>
      <strike/>
      <sz val="10"/>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CC5CA"/>
        <bgColor indexed="64"/>
      </patternFill>
    </fill>
    <fill>
      <patternFill patternType="solid">
        <fgColor rgb="FF7AC142"/>
        <bgColor indexed="64"/>
      </patternFill>
    </fill>
    <fill>
      <patternFill patternType="solid">
        <fgColor theme="0"/>
        <bgColor indexed="64"/>
      </patternFill>
    </fill>
    <fill>
      <patternFill patternType="solid">
        <fgColor theme="0" tint="-0.3499799966812134"/>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rgb="FFCCCCFF"/>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rgb="FF2FC9FF"/>
        <bgColor indexed="64"/>
      </patternFill>
    </fill>
    <fill>
      <patternFill patternType="solid">
        <fgColor rgb="FFFFCCFF"/>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bottom style="thin"/>
    </border>
    <border>
      <left/>
      <right/>
      <top style="medium"/>
      <bottom/>
    </border>
    <border>
      <left style="medium"/>
      <right style="medium"/>
      <top style="medium"/>
      <bottom/>
    </border>
    <border>
      <left style="medium"/>
      <right style="medium"/>
      <top style="medium"/>
      <bottom style="medium"/>
    </border>
    <border>
      <left style="medium"/>
      <right style="medium"/>
      <top/>
      <bottom style="medium"/>
    </border>
    <border>
      <left style="thin"/>
      <right style="thin"/>
      <top style="thin"/>
      <bottom style="thin"/>
    </border>
    <border>
      <left style="medium"/>
      <right style="thin"/>
      <top style="thin"/>
      <bottom/>
    </border>
    <border>
      <left style="medium"/>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style="medium"/>
      <top style="thin"/>
      <bottom style="medium"/>
    </border>
    <border>
      <left style="thin"/>
      <right/>
      <top/>
      <bottom/>
    </border>
    <border>
      <left/>
      <right style="thin"/>
      <top/>
      <bottom/>
    </border>
    <border>
      <left style="thin"/>
      <right/>
      <top/>
      <bottom style="thin"/>
    </border>
    <border>
      <left/>
      <right style="thin"/>
      <top/>
      <bottom style="thin"/>
    </border>
    <border>
      <left style="thin"/>
      <right/>
      <top style="medium"/>
      <bottom/>
    </border>
    <border>
      <left/>
      <right style="thin"/>
      <top style="medium"/>
      <bottom/>
    </border>
    <border>
      <left style="thin"/>
      <right/>
      <top style="thin"/>
      <bottom/>
    </border>
    <border>
      <left/>
      <right/>
      <top style="thin"/>
      <bottom/>
    </border>
    <border>
      <left/>
      <right style="thin"/>
      <top style="thin"/>
      <bottom/>
    </border>
    <border>
      <left style="medium"/>
      <right/>
      <top style="medium"/>
      <bottom style="medium"/>
    </border>
    <border>
      <left/>
      <right style="medium"/>
      <top style="medium"/>
      <bottom style="medium"/>
    </border>
    <border>
      <left style="medium"/>
      <right/>
      <top/>
      <bottom style="thin"/>
    </border>
    <border>
      <left/>
      <right style="medium"/>
      <top/>
      <bottom style="thin"/>
    </border>
    <border>
      <left style="medium"/>
      <right style="thin"/>
      <top/>
      <bottom/>
    </border>
    <border>
      <left style="medium">
        <color rgb="FFFF0000"/>
      </left>
      <right style="medium">
        <color rgb="FFFF0000"/>
      </right>
      <top style="medium">
        <color rgb="FFFF0000"/>
      </top>
      <bottom style="medium">
        <color rgb="FFFF0000"/>
      </bottom>
    </border>
    <border>
      <left/>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41">
    <xf numFmtId="0" fontId="0" fillId="0" borderId="0" xfId="0" applyFont="1" applyAlignment="1">
      <alignment/>
    </xf>
    <xf numFmtId="0" fontId="61" fillId="0" borderId="0" xfId="0" applyFont="1" applyFill="1" applyAlignment="1">
      <alignment/>
    </xf>
    <xf numFmtId="0" fontId="62" fillId="0" borderId="0" xfId="0" applyFont="1" applyFill="1" applyAlignment="1">
      <alignment/>
    </xf>
    <xf numFmtId="0" fontId="62" fillId="0" borderId="0" xfId="0" applyFont="1" applyFill="1" applyAlignment="1">
      <alignment horizontal="center"/>
    </xf>
    <xf numFmtId="0" fontId="62" fillId="0" borderId="0" xfId="0" applyNumberFormat="1" applyFont="1" applyFill="1" applyAlignment="1">
      <alignment horizontal="center"/>
    </xf>
    <xf numFmtId="0" fontId="62" fillId="0" borderId="0" xfId="0" applyFont="1" applyAlignment="1">
      <alignment/>
    </xf>
    <xf numFmtId="0" fontId="63" fillId="0" borderId="0" xfId="0" applyFont="1" applyAlignment="1">
      <alignment horizontal="center"/>
    </xf>
    <xf numFmtId="0" fontId="64" fillId="0" borderId="0" xfId="0" applyFont="1" applyAlignment="1">
      <alignment/>
    </xf>
    <xf numFmtId="42" fontId="62" fillId="0" borderId="0" xfId="0" applyNumberFormat="1" applyFont="1" applyAlignment="1">
      <alignment/>
    </xf>
    <xf numFmtId="0" fontId="61" fillId="0" borderId="0" xfId="0" applyFont="1" applyAlignment="1">
      <alignment/>
    </xf>
    <xf numFmtId="0" fontId="61" fillId="33" borderId="10" xfId="0" applyFont="1" applyFill="1" applyBorder="1" applyAlignment="1">
      <alignment horizontal="center" wrapText="1"/>
    </xf>
    <xf numFmtId="0" fontId="64" fillId="0" borderId="0" xfId="0" applyFont="1" applyAlignment="1">
      <alignment horizontal="center"/>
    </xf>
    <xf numFmtId="41" fontId="62" fillId="0" borderId="0" xfId="0" applyNumberFormat="1" applyFont="1" applyAlignment="1">
      <alignment/>
    </xf>
    <xf numFmtId="41" fontId="62" fillId="0" borderId="11" xfId="0" applyNumberFormat="1" applyFont="1" applyBorder="1" applyAlignment="1">
      <alignment/>
    </xf>
    <xf numFmtId="0" fontId="62" fillId="0" borderId="0" xfId="0" applyFont="1" applyAlignment="1">
      <alignment/>
    </xf>
    <xf numFmtId="0" fontId="62" fillId="0" borderId="0" xfId="0" applyFont="1" applyAlignment="1">
      <alignment/>
    </xf>
    <xf numFmtId="42" fontId="62" fillId="0" borderId="0" xfId="0" applyNumberFormat="1" applyFont="1" applyAlignment="1">
      <alignment/>
    </xf>
    <xf numFmtId="42" fontId="62" fillId="0" borderId="12" xfId="0" applyNumberFormat="1" applyFont="1" applyFill="1" applyBorder="1" applyAlignment="1">
      <alignment/>
    </xf>
    <xf numFmtId="42" fontId="62" fillId="0" borderId="0" xfId="0" applyNumberFormat="1" applyFont="1" applyFill="1" applyBorder="1" applyAlignment="1">
      <alignment/>
    </xf>
    <xf numFmtId="42" fontId="62" fillId="0" borderId="11" xfId="0" applyNumberFormat="1" applyFont="1" applyBorder="1" applyAlignment="1">
      <alignment/>
    </xf>
    <xf numFmtId="42" fontId="62" fillId="0" borderId="11" xfId="0" applyNumberFormat="1" applyFont="1" applyFill="1" applyBorder="1" applyAlignment="1">
      <alignment/>
    </xf>
    <xf numFmtId="0" fontId="62" fillId="0" borderId="0" xfId="0" applyFont="1" applyBorder="1" applyAlignment="1">
      <alignment/>
    </xf>
    <xf numFmtId="0" fontId="62" fillId="0" borderId="0" xfId="0" applyFont="1" applyBorder="1" applyAlignment="1">
      <alignment horizontal="right"/>
    </xf>
    <xf numFmtId="44" fontId="62" fillId="0" borderId="0" xfId="0" applyNumberFormat="1" applyFont="1" applyBorder="1" applyAlignment="1">
      <alignment/>
    </xf>
    <xf numFmtId="0" fontId="62" fillId="0" borderId="0" xfId="0" applyFont="1" applyBorder="1" applyAlignment="1" quotePrefix="1">
      <alignment horizontal="right"/>
    </xf>
    <xf numFmtId="10" fontId="62" fillId="0" borderId="0" xfId="0" applyNumberFormat="1" applyFont="1" applyBorder="1" applyAlignment="1" quotePrefix="1">
      <alignment/>
    </xf>
    <xf numFmtId="10" fontId="62" fillId="0" borderId="0" xfId="0" applyNumberFormat="1" applyFont="1" applyBorder="1" applyAlignment="1">
      <alignment/>
    </xf>
    <xf numFmtId="10" fontId="62" fillId="0" borderId="0" xfId="0" applyNumberFormat="1" applyFont="1" applyAlignment="1">
      <alignment/>
    </xf>
    <xf numFmtId="10" fontId="62" fillId="0" borderId="11" xfId="0" applyNumberFormat="1" applyFont="1" applyBorder="1" applyAlignment="1">
      <alignment/>
    </xf>
    <xf numFmtId="167" fontId="62" fillId="0" borderId="0" xfId="0" applyNumberFormat="1" applyFont="1" applyAlignment="1">
      <alignment/>
    </xf>
    <xf numFmtId="167" fontId="62" fillId="0" borderId="0" xfId="0" applyNumberFormat="1" applyFont="1" applyFill="1" applyAlignment="1">
      <alignment/>
    </xf>
    <xf numFmtId="168" fontId="61" fillId="0" borderId="0" xfId="0" applyNumberFormat="1" applyFont="1" applyFill="1" applyAlignment="1">
      <alignment/>
    </xf>
    <xf numFmtId="0" fontId="12" fillId="0" borderId="0" xfId="0" applyFont="1" applyFill="1" applyAlignment="1">
      <alignment horizontal="center"/>
    </xf>
    <xf numFmtId="0" fontId="62" fillId="0" borderId="0" xfId="0" applyFont="1" applyAlignment="1">
      <alignment horizontal="center"/>
    </xf>
    <xf numFmtId="9" fontId="19" fillId="34" borderId="13" xfId="55" applyNumberFormat="1" applyFont="1" applyFill="1" applyBorder="1" applyAlignment="1" applyProtection="1">
      <alignment horizontal="center"/>
      <protection locked="0"/>
    </xf>
    <xf numFmtId="9" fontId="19" fillId="34" borderId="14" xfId="55" applyNumberFormat="1" applyFont="1" applyFill="1" applyBorder="1" applyAlignment="1" applyProtection="1">
      <alignment horizontal="center"/>
      <protection locked="0"/>
    </xf>
    <xf numFmtId="9" fontId="19" fillId="34" borderId="15" xfId="55" applyNumberFormat="1" applyFont="1" applyFill="1" applyBorder="1" applyAlignment="1" applyProtection="1">
      <alignment horizontal="center"/>
      <protection locked="0"/>
    </xf>
    <xf numFmtId="0" fontId="12" fillId="0" borderId="0" xfId="0" applyFont="1" applyAlignment="1">
      <alignment/>
    </xf>
    <xf numFmtId="0" fontId="65" fillId="0" borderId="0" xfId="0" applyFont="1" applyFill="1" applyAlignment="1">
      <alignment horizontal="right"/>
    </xf>
    <xf numFmtId="166" fontId="65" fillId="0" borderId="0" xfId="0" applyNumberFormat="1" applyFont="1" applyFill="1" applyAlignment="1">
      <alignment horizontal="right"/>
    </xf>
    <xf numFmtId="172" fontId="65" fillId="0" borderId="0" xfId="0" applyNumberFormat="1" applyFont="1" applyFill="1" applyAlignment="1">
      <alignment horizontal="right"/>
    </xf>
    <xf numFmtId="0" fontId="66" fillId="0" borderId="0" xfId="0" applyFont="1" applyAlignment="1">
      <alignment/>
    </xf>
    <xf numFmtId="0" fontId="67" fillId="0" borderId="0" xfId="0" applyFont="1" applyFill="1" applyAlignment="1">
      <alignment/>
    </xf>
    <xf numFmtId="0" fontId="62" fillId="34" borderId="0" xfId="0" applyFont="1" applyFill="1" applyAlignment="1" applyProtection="1">
      <alignment/>
      <protection locked="0"/>
    </xf>
    <xf numFmtId="44" fontId="65" fillId="34" borderId="14" xfId="0" applyNumberFormat="1" applyFont="1" applyFill="1" applyBorder="1" applyAlignment="1" applyProtection="1">
      <alignment/>
      <protection locked="0"/>
    </xf>
    <xf numFmtId="10" fontId="65" fillId="34" borderId="14" xfId="0" applyNumberFormat="1" applyFont="1" applyFill="1" applyBorder="1" applyAlignment="1" applyProtection="1">
      <alignment/>
      <protection locked="0"/>
    </xf>
    <xf numFmtId="9" fontId="65" fillId="34" borderId="16" xfId="0" applyNumberFormat="1" applyFont="1" applyFill="1" applyBorder="1" applyAlignment="1" applyProtection="1">
      <alignment horizontal="center"/>
      <protection locked="0"/>
    </xf>
    <xf numFmtId="3" fontId="65" fillId="34" borderId="16" xfId="0" applyNumberFormat="1" applyFont="1" applyFill="1" applyBorder="1" applyAlignment="1" applyProtection="1">
      <alignment horizontal="center"/>
      <protection locked="0"/>
    </xf>
    <xf numFmtId="0" fontId="65" fillId="34" borderId="16" xfId="0" applyFont="1" applyFill="1" applyBorder="1" applyAlignment="1" applyProtection="1">
      <alignment horizontal="center"/>
      <protection locked="0"/>
    </xf>
    <xf numFmtId="9" fontId="65" fillId="34" borderId="17" xfId="0" applyNumberFormat="1" applyFont="1" applyFill="1" applyBorder="1" applyAlignment="1" applyProtection="1">
      <alignment horizontal="center" vertical="center"/>
      <protection locked="0"/>
    </xf>
    <xf numFmtId="9" fontId="65" fillId="34" borderId="18" xfId="0" applyNumberFormat="1" applyFont="1" applyFill="1" applyBorder="1" applyAlignment="1" applyProtection="1">
      <alignment horizontal="center" vertical="center"/>
      <protection locked="0"/>
    </xf>
    <xf numFmtId="0" fontId="67" fillId="33" borderId="19" xfId="0" applyFont="1" applyFill="1" applyBorder="1" applyAlignment="1" applyProtection="1">
      <alignment/>
      <protection/>
    </xf>
    <xf numFmtId="0" fontId="62" fillId="33" borderId="0" xfId="0" applyFont="1" applyFill="1" applyAlignment="1" applyProtection="1">
      <alignment/>
      <protection/>
    </xf>
    <xf numFmtId="0" fontId="65" fillId="33" borderId="0" xfId="0" applyFont="1" applyFill="1" applyAlignment="1" applyProtection="1">
      <alignment horizontal="right"/>
      <protection/>
    </xf>
    <xf numFmtId="166" fontId="65" fillId="33" borderId="0" xfId="0" applyNumberFormat="1" applyFont="1" applyFill="1" applyAlignment="1" applyProtection="1">
      <alignment horizontal="right"/>
      <protection/>
    </xf>
    <xf numFmtId="0" fontId="62" fillId="33" borderId="0" xfId="0" applyFont="1" applyFill="1" applyAlignment="1" applyProtection="1">
      <alignment/>
      <protection/>
    </xf>
    <xf numFmtId="0" fontId="12" fillId="33" borderId="0" xfId="0" applyFont="1" applyFill="1" applyAlignment="1" applyProtection="1">
      <alignment/>
      <protection/>
    </xf>
    <xf numFmtId="0" fontId="62" fillId="33" borderId="0" xfId="0" applyFont="1" applyFill="1" applyBorder="1" applyAlignment="1" applyProtection="1">
      <alignment/>
      <protection/>
    </xf>
    <xf numFmtId="0" fontId="63" fillId="33" borderId="0" xfId="0" applyFont="1" applyFill="1" applyBorder="1" applyAlignment="1" applyProtection="1">
      <alignment horizontal="center"/>
      <protection/>
    </xf>
    <xf numFmtId="0" fontId="64" fillId="33" borderId="0" xfId="0" applyFont="1" applyFill="1" applyAlignment="1" applyProtection="1">
      <alignment horizontal="center"/>
      <protection/>
    </xf>
    <xf numFmtId="0" fontId="62" fillId="0" borderId="0" xfId="0" applyFont="1" applyAlignment="1" applyProtection="1">
      <alignment/>
      <protection/>
    </xf>
    <xf numFmtId="0" fontId="61" fillId="33" borderId="0" xfId="0" applyFont="1" applyFill="1" applyAlignment="1" applyProtection="1">
      <alignment/>
      <protection/>
    </xf>
    <xf numFmtId="172" fontId="65" fillId="33" borderId="0" xfId="0" applyNumberFormat="1" applyFont="1" applyFill="1" applyAlignment="1" applyProtection="1">
      <alignment horizontal="right"/>
      <protection/>
    </xf>
    <xf numFmtId="0" fontId="62" fillId="33" borderId="0" xfId="0" applyFont="1" applyFill="1" applyBorder="1" applyAlignment="1" applyProtection="1">
      <alignment horizontal="right"/>
      <protection/>
    </xf>
    <xf numFmtId="44" fontId="62" fillId="33" borderId="0" xfId="0" applyNumberFormat="1" applyFont="1" applyFill="1" applyBorder="1" applyAlignment="1" applyProtection="1">
      <alignment/>
      <protection/>
    </xf>
    <xf numFmtId="0" fontId="65" fillId="33" borderId="0" xfId="0" applyFont="1" applyFill="1" applyBorder="1" applyAlignment="1" applyProtection="1">
      <alignment horizontal="centerContinuous"/>
      <protection/>
    </xf>
    <xf numFmtId="0" fontId="62" fillId="33" borderId="0" xfId="0" applyFont="1" applyFill="1" applyBorder="1" applyAlignment="1" applyProtection="1">
      <alignment horizontal="centerContinuous"/>
      <protection/>
    </xf>
    <xf numFmtId="0" fontId="62" fillId="33" borderId="0" xfId="0" applyFont="1" applyFill="1" applyAlignment="1" applyProtection="1">
      <alignment/>
      <protection/>
    </xf>
    <xf numFmtId="0" fontId="65" fillId="33" borderId="0" xfId="0" applyFont="1" applyFill="1" applyBorder="1" applyAlignment="1" applyProtection="1">
      <alignment/>
      <protection/>
    </xf>
    <xf numFmtId="0" fontId="62" fillId="33" borderId="0" xfId="0" applyFont="1" applyFill="1" applyBorder="1" applyAlignment="1" applyProtection="1">
      <alignment/>
      <protection/>
    </xf>
    <xf numFmtId="0" fontId="65" fillId="33" borderId="0" xfId="0" applyFont="1" applyFill="1" applyBorder="1" applyAlignment="1" applyProtection="1">
      <alignment horizontal="center"/>
      <protection/>
    </xf>
    <xf numFmtId="0" fontId="66" fillId="33" borderId="0" xfId="0" applyFont="1" applyFill="1" applyAlignment="1" applyProtection="1">
      <alignment/>
      <protection/>
    </xf>
    <xf numFmtId="0" fontId="62" fillId="33" borderId="0" xfId="0" applyFont="1" applyFill="1" applyAlignment="1" applyProtection="1">
      <alignment horizontal="center"/>
      <protection/>
    </xf>
    <xf numFmtId="10" fontId="62" fillId="33" borderId="0" xfId="0" applyNumberFormat="1" applyFont="1" applyFill="1" applyBorder="1" applyAlignment="1" applyProtection="1">
      <alignment/>
      <protection/>
    </xf>
    <xf numFmtId="10" fontId="65" fillId="33" borderId="0" xfId="0" applyNumberFormat="1" applyFont="1" applyFill="1" applyBorder="1" applyAlignment="1" applyProtection="1">
      <alignment horizontal="right"/>
      <protection/>
    </xf>
    <xf numFmtId="0" fontId="64" fillId="33" borderId="0" xfId="0" applyFont="1" applyFill="1" applyAlignment="1" applyProtection="1">
      <alignment/>
      <protection/>
    </xf>
    <xf numFmtId="0" fontId="68" fillId="33" borderId="0" xfId="0" applyFont="1" applyFill="1" applyAlignment="1" applyProtection="1">
      <alignment horizontal="center"/>
      <protection/>
    </xf>
    <xf numFmtId="171" fontId="62" fillId="33" borderId="0" xfId="42" applyNumberFormat="1" applyFont="1" applyFill="1" applyAlignment="1" applyProtection="1">
      <alignment/>
      <protection/>
    </xf>
    <xf numFmtId="0" fontId="65" fillId="33" borderId="0" xfId="0" applyFont="1" applyFill="1" applyBorder="1" applyAlignment="1" applyProtection="1">
      <alignment horizontal="right"/>
      <protection/>
    </xf>
    <xf numFmtId="42" fontId="65" fillId="33" borderId="0" xfId="0" applyNumberFormat="1" applyFont="1" applyFill="1" applyBorder="1" applyAlignment="1" applyProtection="1">
      <alignment/>
      <protection/>
    </xf>
    <xf numFmtId="37" fontId="65" fillId="33" borderId="0" xfId="0" applyNumberFormat="1" applyFont="1" applyFill="1" applyBorder="1" applyAlignment="1" applyProtection="1">
      <alignment/>
      <protection/>
    </xf>
    <xf numFmtId="9" fontId="65" fillId="33" borderId="0" xfId="0" applyNumberFormat="1" applyFont="1" applyFill="1" applyBorder="1" applyAlignment="1" applyProtection="1">
      <alignment horizontal="center"/>
      <protection/>
    </xf>
    <xf numFmtId="0" fontId="69" fillId="33" borderId="0" xfId="0" applyFont="1" applyFill="1" applyBorder="1" applyAlignment="1" applyProtection="1">
      <alignment horizontal="center"/>
      <protection/>
    </xf>
    <xf numFmtId="171" fontId="62" fillId="33" borderId="0" xfId="0" applyNumberFormat="1" applyFont="1" applyFill="1" applyAlignment="1" applyProtection="1">
      <alignment/>
      <protection/>
    </xf>
    <xf numFmtId="0" fontId="61" fillId="0" borderId="10" xfId="0" applyFont="1" applyFill="1" applyBorder="1" applyAlignment="1" applyProtection="1">
      <alignment horizontal="center" wrapText="1"/>
      <protection/>
    </xf>
    <xf numFmtId="0" fontId="62" fillId="0" borderId="0" xfId="0" applyFont="1" applyFill="1" applyAlignment="1" applyProtection="1">
      <alignment horizontal="center"/>
      <protection/>
    </xf>
    <xf numFmtId="0" fontId="62" fillId="0" borderId="0" xfId="0" applyNumberFormat="1" applyFont="1" applyFill="1" applyAlignment="1" applyProtection="1">
      <alignment horizontal="center"/>
      <protection/>
    </xf>
    <xf numFmtId="0" fontId="62" fillId="0" borderId="0" xfId="0" applyFont="1" applyFill="1" applyAlignment="1" applyProtection="1">
      <alignment/>
      <protection/>
    </xf>
    <xf numFmtId="0" fontId="62" fillId="0" borderId="0" xfId="0" applyFont="1" applyFill="1" applyAlignment="1" applyProtection="1">
      <alignment/>
      <protection/>
    </xf>
    <xf numFmtId="0" fontId="62" fillId="0" borderId="0" xfId="0" applyFont="1" applyAlignment="1" applyProtection="1">
      <alignment horizontal="center"/>
      <protection/>
    </xf>
    <xf numFmtId="10" fontId="62" fillId="0" borderId="0" xfId="0" applyNumberFormat="1" applyFont="1" applyAlignment="1" applyProtection="1">
      <alignment horizontal="center"/>
      <protection/>
    </xf>
    <xf numFmtId="3" fontId="62" fillId="0" borderId="0" xfId="0" applyNumberFormat="1" applyFont="1" applyAlignment="1" applyProtection="1">
      <alignment/>
      <protection/>
    </xf>
    <xf numFmtId="9" fontId="62" fillId="0" borderId="0" xfId="0" applyNumberFormat="1" applyFont="1" applyAlignment="1" applyProtection="1">
      <alignment/>
      <protection/>
    </xf>
    <xf numFmtId="41" fontId="62" fillId="0" borderId="0" xfId="0" applyNumberFormat="1" applyFont="1" applyAlignment="1" applyProtection="1">
      <alignment/>
      <protection/>
    </xf>
    <xf numFmtId="42" fontId="62" fillId="0" borderId="0" xfId="0" applyNumberFormat="1" applyFont="1" applyAlignment="1" applyProtection="1">
      <alignment/>
      <protection/>
    </xf>
    <xf numFmtId="42" fontId="61" fillId="0" borderId="0" xfId="0" applyNumberFormat="1" applyFont="1" applyAlignment="1" applyProtection="1">
      <alignment/>
      <protection/>
    </xf>
    <xf numFmtId="42" fontId="62" fillId="0" borderId="12" xfId="0" applyNumberFormat="1" applyFont="1" applyFill="1" applyBorder="1" applyAlignment="1" applyProtection="1">
      <alignment/>
      <protection/>
    </xf>
    <xf numFmtId="42" fontId="62" fillId="0" borderId="0" xfId="0" applyNumberFormat="1" applyFont="1" applyAlignment="1" applyProtection="1">
      <alignment/>
      <protection/>
    </xf>
    <xf numFmtId="42" fontId="62" fillId="0" borderId="0" xfId="0" applyNumberFormat="1" applyFont="1" applyFill="1" applyBorder="1" applyAlignment="1" applyProtection="1">
      <alignment/>
      <protection/>
    </xf>
    <xf numFmtId="42" fontId="61" fillId="0" borderId="0" xfId="0" applyNumberFormat="1" applyFont="1" applyBorder="1" applyAlignment="1" applyProtection="1">
      <alignment/>
      <protection/>
    </xf>
    <xf numFmtId="41" fontId="62" fillId="0" borderId="11" xfId="0" applyNumberFormat="1" applyFont="1" applyBorder="1" applyAlignment="1" applyProtection="1">
      <alignment/>
      <protection/>
    </xf>
    <xf numFmtId="42" fontId="62" fillId="0" borderId="11" xfId="0" applyNumberFormat="1" applyFont="1" applyBorder="1" applyAlignment="1" applyProtection="1">
      <alignment/>
      <protection/>
    </xf>
    <xf numFmtId="42" fontId="61" fillId="0" borderId="11" xfId="0" applyNumberFormat="1" applyFont="1" applyBorder="1" applyAlignment="1" applyProtection="1">
      <alignment/>
      <protection/>
    </xf>
    <xf numFmtId="42" fontId="62" fillId="0" borderId="11" xfId="0" applyNumberFormat="1" applyFont="1" applyFill="1" applyBorder="1" applyAlignment="1" applyProtection="1">
      <alignment/>
      <protection/>
    </xf>
    <xf numFmtId="42" fontId="62" fillId="0" borderId="11" xfId="0" applyNumberFormat="1" applyFont="1" applyBorder="1" applyAlignment="1" applyProtection="1">
      <alignment/>
      <protection/>
    </xf>
    <xf numFmtId="42" fontId="62" fillId="0" borderId="0" xfId="0" applyNumberFormat="1" applyFont="1" applyFill="1" applyAlignment="1" applyProtection="1">
      <alignment/>
      <protection/>
    </xf>
    <xf numFmtId="0" fontId="62" fillId="0" borderId="0" xfId="0" applyFont="1" applyBorder="1" applyAlignment="1" applyProtection="1">
      <alignment/>
      <protection/>
    </xf>
    <xf numFmtId="0" fontId="70" fillId="35" borderId="19" xfId="0" applyFont="1" applyFill="1" applyBorder="1" applyAlignment="1" applyProtection="1">
      <alignment/>
      <protection/>
    </xf>
    <xf numFmtId="0" fontId="70" fillId="35" borderId="12" xfId="0" applyFont="1" applyFill="1" applyBorder="1" applyAlignment="1" applyProtection="1">
      <alignment/>
      <protection/>
    </xf>
    <xf numFmtId="0" fontId="62" fillId="35" borderId="12" xfId="0" applyFont="1" applyFill="1" applyBorder="1" applyAlignment="1" applyProtection="1">
      <alignment/>
      <protection/>
    </xf>
    <xf numFmtId="0" fontId="62" fillId="35" borderId="20" xfId="0" applyFont="1" applyFill="1" applyBorder="1" applyAlignment="1" applyProtection="1">
      <alignment/>
      <protection/>
    </xf>
    <xf numFmtId="0" fontId="70" fillId="35" borderId="21" xfId="0" applyFont="1" applyFill="1" applyBorder="1" applyAlignment="1" applyProtection="1">
      <alignment/>
      <protection/>
    </xf>
    <xf numFmtId="0" fontId="70" fillId="35" borderId="0" xfId="0" applyFont="1" applyFill="1" applyBorder="1" applyAlignment="1" applyProtection="1">
      <alignment/>
      <protection/>
    </xf>
    <xf numFmtId="0" fontId="62" fillId="35" borderId="0" xfId="0" applyFont="1" applyFill="1" applyBorder="1" applyAlignment="1" applyProtection="1">
      <alignment/>
      <protection/>
    </xf>
    <xf numFmtId="0" fontId="62" fillId="35" borderId="22" xfId="0" applyFont="1" applyFill="1" applyBorder="1" applyAlignment="1" applyProtection="1">
      <alignment/>
      <protection/>
    </xf>
    <xf numFmtId="0" fontId="61" fillId="0" borderId="0" xfId="0" applyFont="1" applyAlignment="1" applyProtection="1">
      <alignment horizontal="center"/>
      <protection/>
    </xf>
    <xf numFmtId="0" fontId="62" fillId="0" borderId="0" xfId="0" applyFont="1" applyAlignment="1" applyProtection="1">
      <alignment/>
      <protection/>
    </xf>
    <xf numFmtId="0" fontId="61" fillId="0" borderId="11" xfId="0" applyFont="1" applyBorder="1" applyAlignment="1" applyProtection="1">
      <alignment horizontal="center"/>
      <protection/>
    </xf>
    <xf numFmtId="0" fontId="62" fillId="0" borderId="0" xfId="0" applyFont="1" applyAlignment="1" applyProtection="1">
      <alignment/>
      <protection/>
    </xf>
    <xf numFmtId="171" fontId="62" fillId="0" borderId="0" xfId="42" applyNumberFormat="1" applyFont="1" applyAlignment="1" applyProtection="1">
      <alignment/>
      <protection/>
    </xf>
    <xf numFmtId="171" fontId="62" fillId="0" borderId="0" xfId="42" applyNumberFormat="1" applyFont="1" applyAlignment="1" applyProtection="1">
      <alignment/>
      <protection/>
    </xf>
    <xf numFmtId="3" fontId="70" fillId="35" borderId="0" xfId="0" applyNumberFormat="1" applyFont="1" applyFill="1" applyBorder="1" applyAlignment="1" applyProtection="1">
      <alignment/>
      <protection/>
    </xf>
    <xf numFmtId="171" fontId="71" fillId="0" borderId="0" xfId="42" applyNumberFormat="1" applyFont="1" applyAlignment="1" applyProtection="1">
      <alignment/>
      <protection/>
    </xf>
    <xf numFmtId="171" fontId="72" fillId="0" borderId="0" xfId="42" applyNumberFormat="1" applyFont="1" applyAlignment="1" applyProtection="1">
      <alignment/>
      <protection/>
    </xf>
    <xf numFmtId="10" fontId="70" fillId="35" borderId="0" xfId="0" applyNumberFormat="1" applyFont="1" applyFill="1" applyBorder="1" applyAlignment="1" applyProtection="1">
      <alignment/>
      <protection/>
    </xf>
    <xf numFmtId="170" fontId="70" fillId="35" borderId="0" xfId="0" applyNumberFormat="1" applyFont="1" applyFill="1" applyBorder="1" applyAlignment="1" applyProtection="1">
      <alignment/>
      <protection/>
    </xf>
    <xf numFmtId="0" fontId="70" fillId="35" borderId="23" xfId="0" applyFont="1" applyFill="1" applyBorder="1" applyAlignment="1" applyProtection="1">
      <alignment/>
      <protection/>
    </xf>
    <xf numFmtId="0" fontId="70" fillId="35" borderId="24" xfId="0" applyFont="1" applyFill="1" applyBorder="1" applyAlignment="1" applyProtection="1">
      <alignment/>
      <protection/>
    </xf>
    <xf numFmtId="170" fontId="70" fillId="35" borderId="24" xfId="0" applyNumberFormat="1" applyFont="1" applyFill="1" applyBorder="1" applyAlignment="1" applyProtection="1">
      <alignment/>
      <protection/>
    </xf>
    <xf numFmtId="0" fontId="62" fillId="35" borderId="24" xfId="0" applyFont="1" applyFill="1" applyBorder="1" applyAlignment="1" applyProtection="1">
      <alignment/>
      <protection/>
    </xf>
    <xf numFmtId="0" fontId="62" fillId="35" borderId="25" xfId="0" applyFont="1" applyFill="1" applyBorder="1" applyAlignment="1" applyProtection="1">
      <alignment/>
      <protection/>
    </xf>
    <xf numFmtId="0" fontId="62" fillId="0" borderId="26" xfId="0" applyFont="1" applyBorder="1" applyAlignment="1" applyProtection="1">
      <alignment/>
      <protection/>
    </xf>
    <xf numFmtId="0" fontId="62" fillId="0" borderId="27" xfId="0" applyFont="1" applyBorder="1" applyAlignment="1" applyProtection="1">
      <alignment/>
      <protection/>
    </xf>
    <xf numFmtId="0" fontId="63" fillId="0" borderId="27" xfId="0" applyFont="1" applyBorder="1" applyAlignment="1" applyProtection="1">
      <alignment/>
      <protection/>
    </xf>
    <xf numFmtId="0" fontId="62" fillId="0" borderId="12" xfId="0" applyFont="1" applyBorder="1" applyAlignment="1" applyProtection="1">
      <alignment/>
      <protection/>
    </xf>
    <xf numFmtId="41" fontId="62" fillId="0" borderId="27" xfId="0" applyNumberFormat="1" applyFont="1" applyBorder="1" applyAlignment="1" applyProtection="1">
      <alignment/>
      <protection/>
    </xf>
    <xf numFmtId="42" fontId="62" fillId="0" borderId="27" xfId="0" applyNumberFormat="1" applyFont="1" applyBorder="1" applyAlignment="1" applyProtection="1">
      <alignment/>
      <protection/>
    </xf>
    <xf numFmtId="42" fontId="61" fillId="0" borderId="27" xfId="0" applyNumberFormat="1" applyFont="1" applyBorder="1" applyAlignment="1" applyProtection="1">
      <alignment/>
      <protection/>
    </xf>
    <xf numFmtId="42" fontId="62" fillId="0" borderId="28" xfId="0" applyNumberFormat="1" applyFont="1" applyBorder="1" applyAlignment="1" applyProtection="1">
      <alignment/>
      <protection/>
    </xf>
    <xf numFmtId="0" fontId="62" fillId="0" borderId="29" xfId="0" applyFont="1" applyFill="1" applyBorder="1" applyAlignment="1" applyProtection="1" quotePrefix="1">
      <alignment horizontal="center"/>
      <protection/>
    </xf>
    <xf numFmtId="0" fontId="62" fillId="0" borderId="30" xfId="0" applyNumberFormat="1" applyFont="1" applyFill="1" applyBorder="1" applyAlignment="1" applyProtection="1">
      <alignment horizontal="center"/>
      <protection/>
    </xf>
    <xf numFmtId="0" fontId="63" fillId="0" borderId="30" xfId="0" applyFont="1" applyFill="1" applyBorder="1" applyAlignment="1" applyProtection="1">
      <alignment/>
      <protection/>
    </xf>
    <xf numFmtId="0" fontId="62" fillId="0" borderId="30" xfId="0" applyFont="1" applyFill="1" applyBorder="1" applyAlignment="1" applyProtection="1">
      <alignment/>
      <protection/>
    </xf>
    <xf numFmtId="0" fontId="62" fillId="34" borderId="14" xfId="0" applyFont="1" applyFill="1" applyBorder="1" applyAlignment="1" applyProtection="1">
      <alignment/>
      <protection/>
    </xf>
    <xf numFmtId="0" fontId="62" fillId="0" borderId="30" xfId="0" applyFont="1" applyBorder="1" applyAlignment="1" applyProtection="1">
      <alignment horizontal="center"/>
      <protection/>
    </xf>
    <xf numFmtId="10" fontId="62" fillId="0" borderId="30" xfId="0" applyNumberFormat="1" applyFont="1" applyBorder="1" applyAlignment="1" applyProtection="1">
      <alignment horizontal="center"/>
      <protection/>
    </xf>
    <xf numFmtId="3" fontId="62" fillId="0" borderId="30" xfId="0" applyNumberFormat="1" applyFont="1" applyBorder="1" applyAlignment="1" applyProtection="1">
      <alignment/>
      <protection/>
    </xf>
    <xf numFmtId="0" fontId="62" fillId="0" borderId="30" xfId="0" applyFont="1" applyBorder="1" applyAlignment="1" applyProtection="1">
      <alignment/>
      <protection/>
    </xf>
    <xf numFmtId="9" fontId="62" fillId="0" borderId="30" xfId="0" applyNumberFormat="1" applyFont="1" applyBorder="1" applyAlignment="1" applyProtection="1">
      <alignment/>
      <protection/>
    </xf>
    <xf numFmtId="41" fontId="62" fillId="0" borderId="30" xfId="0" applyNumberFormat="1" applyFont="1" applyBorder="1" applyAlignment="1" applyProtection="1">
      <alignment/>
      <protection/>
    </xf>
    <xf numFmtId="42" fontId="62" fillId="0" borderId="30" xfId="0" applyNumberFormat="1" applyFont="1" applyBorder="1" applyAlignment="1" applyProtection="1">
      <alignment/>
      <protection/>
    </xf>
    <xf numFmtId="42" fontId="61" fillId="0" borderId="30" xfId="0" applyNumberFormat="1" applyFont="1" applyBorder="1" applyAlignment="1" applyProtection="1">
      <alignment/>
      <protection/>
    </xf>
    <xf numFmtId="42" fontId="62" fillId="0" borderId="30" xfId="0" applyNumberFormat="1" applyFont="1" applyFill="1" applyBorder="1" applyAlignment="1" applyProtection="1">
      <alignment/>
      <protection/>
    </xf>
    <xf numFmtId="42" fontId="62" fillId="0" borderId="31" xfId="0" applyNumberFormat="1" applyFont="1" applyBorder="1" applyAlignment="1" applyProtection="1">
      <alignment/>
      <protection/>
    </xf>
    <xf numFmtId="0" fontId="62" fillId="0" borderId="32" xfId="0" applyFont="1" applyFill="1" applyBorder="1" applyAlignment="1" applyProtection="1" quotePrefix="1">
      <alignment horizontal="center"/>
      <protection/>
    </xf>
    <xf numFmtId="0" fontId="62" fillId="0" borderId="10" xfId="0" applyNumberFormat="1" applyFont="1" applyFill="1" applyBorder="1" applyAlignment="1" applyProtection="1">
      <alignment horizontal="center"/>
      <protection/>
    </xf>
    <xf numFmtId="0" fontId="63" fillId="0" borderId="10" xfId="0" applyFont="1" applyFill="1" applyBorder="1" applyAlignment="1" applyProtection="1">
      <alignment/>
      <protection/>
    </xf>
    <xf numFmtId="0" fontId="62" fillId="0" borderId="10" xfId="0" applyFont="1" applyFill="1" applyBorder="1" applyAlignment="1" applyProtection="1">
      <alignment/>
      <protection/>
    </xf>
    <xf numFmtId="0" fontId="62" fillId="0" borderId="10" xfId="0" applyFont="1" applyBorder="1" applyAlignment="1" applyProtection="1">
      <alignment horizontal="center"/>
      <protection/>
    </xf>
    <xf numFmtId="10" fontId="62" fillId="0" borderId="10" xfId="0" applyNumberFormat="1" applyFont="1" applyBorder="1" applyAlignment="1" applyProtection="1">
      <alignment horizontal="center"/>
      <protection/>
    </xf>
    <xf numFmtId="3" fontId="62" fillId="0" borderId="10" xfId="0" applyNumberFormat="1" applyFont="1" applyBorder="1" applyAlignment="1" applyProtection="1">
      <alignment/>
      <protection/>
    </xf>
    <xf numFmtId="0" fontId="62" fillId="0" borderId="10" xfId="0" applyFont="1" applyBorder="1" applyAlignment="1" applyProtection="1">
      <alignment/>
      <protection/>
    </xf>
    <xf numFmtId="9" fontId="62" fillId="0" borderId="10" xfId="0" applyNumberFormat="1" applyFont="1" applyBorder="1" applyAlignment="1" applyProtection="1">
      <alignment/>
      <protection/>
    </xf>
    <xf numFmtId="41" fontId="62" fillId="0" borderId="10" xfId="0" applyNumberFormat="1" applyFont="1" applyBorder="1" applyAlignment="1" applyProtection="1">
      <alignment/>
      <protection/>
    </xf>
    <xf numFmtId="42" fontId="62" fillId="0" borderId="10" xfId="0" applyNumberFormat="1" applyFont="1" applyBorder="1" applyAlignment="1" applyProtection="1">
      <alignment/>
      <protection/>
    </xf>
    <xf numFmtId="42" fontId="61" fillId="0" borderId="10" xfId="0" applyNumberFormat="1" applyFont="1" applyBorder="1" applyAlignment="1" applyProtection="1">
      <alignment/>
      <protection/>
    </xf>
    <xf numFmtId="42" fontId="62" fillId="0" borderId="24" xfId="0" applyNumberFormat="1" applyFont="1" applyFill="1" applyBorder="1" applyAlignment="1" applyProtection="1">
      <alignment/>
      <protection/>
    </xf>
    <xf numFmtId="42" fontId="62" fillId="0" borderId="33" xfId="0" applyNumberFormat="1" applyFont="1" applyBorder="1" applyAlignment="1" applyProtection="1">
      <alignment/>
      <protection/>
    </xf>
    <xf numFmtId="0" fontId="62" fillId="33" borderId="12" xfId="0" applyFont="1" applyFill="1" applyBorder="1" applyAlignment="1" applyProtection="1">
      <alignment/>
      <protection/>
    </xf>
    <xf numFmtId="0" fontId="65" fillId="33" borderId="12" xfId="0" applyFont="1" applyFill="1" applyBorder="1" applyAlignment="1" applyProtection="1">
      <alignment horizontal="right"/>
      <protection/>
    </xf>
    <xf numFmtId="0" fontId="62" fillId="33" borderId="20" xfId="0" applyFont="1" applyFill="1" applyBorder="1" applyAlignment="1" applyProtection="1">
      <alignment/>
      <protection/>
    </xf>
    <xf numFmtId="0" fontId="62" fillId="35" borderId="0" xfId="0" applyFont="1" applyFill="1" applyAlignment="1" applyProtection="1">
      <alignment/>
      <protection/>
    </xf>
    <xf numFmtId="0" fontId="61" fillId="33" borderId="21" xfId="0" applyFont="1" applyFill="1" applyBorder="1" applyAlignment="1" applyProtection="1">
      <alignment/>
      <protection/>
    </xf>
    <xf numFmtId="0" fontId="62" fillId="33" borderId="0" xfId="0" applyFont="1" applyFill="1" applyBorder="1" applyAlignment="1" applyProtection="1">
      <alignment/>
      <protection/>
    </xf>
    <xf numFmtId="0" fontId="62" fillId="33" borderId="22" xfId="0" applyFont="1" applyFill="1" applyBorder="1" applyAlignment="1" applyProtection="1">
      <alignment/>
      <protection/>
    </xf>
    <xf numFmtId="0" fontId="62" fillId="33" borderId="21" xfId="0" applyFont="1" applyFill="1" applyBorder="1" applyAlignment="1" applyProtection="1">
      <alignment/>
      <protection/>
    </xf>
    <xf numFmtId="166" fontId="65" fillId="33" borderId="0" xfId="0" applyNumberFormat="1" applyFont="1" applyFill="1" applyBorder="1" applyAlignment="1" applyProtection="1">
      <alignment horizontal="center"/>
      <protection/>
    </xf>
    <xf numFmtId="0" fontId="62" fillId="33" borderId="21" xfId="0" applyFont="1" applyFill="1" applyBorder="1" applyAlignment="1" applyProtection="1">
      <alignment/>
      <protection/>
    </xf>
    <xf numFmtId="172" fontId="65" fillId="33" borderId="0" xfId="0" applyNumberFormat="1" applyFont="1" applyFill="1" applyBorder="1" applyAlignment="1" applyProtection="1">
      <alignment horizontal="center"/>
      <protection/>
    </xf>
    <xf numFmtId="0" fontId="66" fillId="33" borderId="23" xfId="0" applyFont="1" applyFill="1" applyBorder="1" applyAlignment="1" applyProtection="1">
      <alignment/>
      <protection/>
    </xf>
    <xf numFmtId="0" fontId="62" fillId="33" borderId="24" xfId="0" applyFont="1" applyFill="1" applyBorder="1" applyAlignment="1" applyProtection="1">
      <alignment/>
      <protection/>
    </xf>
    <xf numFmtId="0" fontId="62" fillId="33" borderId="25" xfId="0" applyFont="1" applyFill="1" applyBorder="1" applyAlignment="1" applyProtection="1">
      <alignment/>
      <protection/>
    </xf>
    <xf numFmtId="0" fontId="61" fillId="33" borderId="24" xfId="0" applyFont="1" applyFill="1" applyBorder="1" applyAlignment="1" applyProtection="1">
      <alignment/>
      <protection/>
    </xf>
    <xf numFmtId="0" fontId="73" fillId="35" borderId="34" xfId="0" applyFont="1" applyFill="1" applyBorder="1" applyAlignment="1" applyProtection="1">
      <alignment/>
      <protection/>
    </xf>
    <xf numFmtId="0" fontId="65" fillId="35" borderId="0" xfId="0" applyFont="1" applyFill="1" applyBorder="1" applyAlignment="1" applyProtection="1">
      <alignment/>
      <protection/>
    </xf>
    <xf numFmtId="0" fontId="65" fillId="35" borderId="35" xfId="0" applyFont="1" applyFill="1" applyBorder="1" applyAlignment="1" applyProtection="1">
      <alignment/>
      <protection/>
    </xf>
    <xf numFmtId="0" fontId="65" fillId="35" borderId="34" xfId="0" applyFont="1" applyFill="1" applyBorder="1" applyAlignment="1" applyProtection="1">
      <alignment horizontal="center"/>
      <protection/>
    </xf>
    <xf numFmtId="0" fontId="65" fillId="35" borderId="34" xfId="0" applyFont="1" applyFill="1" applyBorder="1" applyAlignment="1" applyProtection="1">
      <alignment/>
      <protection/>
    </xf>
    <xf numFmtId="0" fontId="70" fillId="35" borderId="35" xfId="0" applyFont="1" applyFill="1" applyBorder="1" applyAlignment="1" applyProtection="1">
      <alignment/>
      <protection/>
    </xf>
    <xf numFmtId="0" fontId="70" fillId="35" borderId="34" xfId="0" applyFont="1" applyFill="1" applyBorder="1" applyAlignment="1" applyProtection="1">
      <alignment/>
      <protection/>
    </xf>
    <xf numFmtId="0" fontId="65" fillId="35" borderId="0" xfId="0" applyFont="1" applyFill="1" applyBorder="1" applyAlignment="1" applyProtection="1">
      <alignment horizontal="center" wrapText="1"/>
      <protection/>
    </xf>
    <xf numFmtId="44" fontId="65" fillId="34" borderId="14" xfId="0" applyNumberFormat="1" applyFont="1" applyFill="1" applyBorder="1" applyAlignment="1" applyProtection="1">
      <alignment/>
      <protection/>
    </xf>
    <xf numFmtId="10" fontId="65" fillId="34" borderId="14" xfId="0" applyNumberFormat="1" applyFont="1" applyFill="1" applyBorder="1" applyAlignment="1" applyProtection="1">
      <alignment/>
      <protection/>
    </xf>
    <xf numFmtId="0" fontId="65" fillId="35" borderId="36" xfId="0" applyFont="1" applyFill="1" applyBorder="1" applyAlignment="1" applyProtection="1">
      <alignment horizontal="center"/>
      <protection/>
    </xf>
    <xf numFmtId="0" fontId="65" fillId="35" borderId="0" xfId="0" applyFont="1" applyFill="1" applyBorder="1" applyAlignment="1" applyProtection="1">
      <alignment horizontal="center"/>
      <protection/>
    </xf>
    <xf numFmtId="0" fontId="65" fillId="35" borderId="34" xfId="0" applyFont="1" applyFill="1" applyBorder="1" applyAlignment="1" applyProtection="1">
      <alignment horizontal="left" indent="2"/>
      <protection/>
    </xf>
    <xf numFmtId="0" fontId="65" fillId="35" borderId="0" xfId="0" applyFont="1" applyFill="1" applyBorder="1" applyAlignment="1" applyProtection="1">
      <alignment horizontal="left" indent="2"/>
      <protection/>
    </xf>
    <xf numFmtId="9" fontId="65" fillId="35" borderId="0" xfId="0" applyNumberFormat="1" applyFont="1" applyFill="1" applyBorder="1" applyAlignment="1" applyProtection="1">
      <alignment horizontal="center"/>
      <protection/>
    </xf>
    <xf numFmtId="0" fontId="74" fillId="35" borderId="0" xfId="0" applyFont="1" applyFill="1" applyAlignment="1" applyProtection="1">
      <alignment/>
      <protection/>
    </xf>
    <xf numFmtId="9" fontId="65" fillId="35" borderId="0" xfId="0" applyNumberFormat="1" applyFont="1" applyFill="1" applyBorder="1" applyAlignment="1" applyProtection="1">
      <alignment/>
      <protection/>
    </xf>
    <xf numFmtId="42" fontId="65" fillId="35" borderId="14" xfId="0" applyNumberFormat="1" applyFont="1" applyFill="1" applyBorder="1" applyAlignment="1" applyProtection="1">
      <alignment/>
      <protection/>
    </xf>
    <xf numFmtId="0" fontId="70" fillId="35" borderId="36" xfId="0" applyFont="1" applyFill="1" applyBorder="1" applyAlignment="1" applyProtection="1">
      <alignment/>
      <protection/>
    </xf>
    <xf numFmtId="0" fontId="70" fillId="35" borderId="11" xfId="0" applyFont="1" applyFill="1" applyBorder="1" applyAlignment="1" applyProtection="1">
      <alignment/>
      <protection/>
    </xf>
    <xf numFmtId="0" fontId="70" fillId="35" borderId="37" xfId="0" applyFont="1" applyFill="1" applyBorder="1" applyAlignment="1" applyProtection="1">
      <alignment/>
      <protection/>
    </xf>
    <xf numFmtId="0" fontId="73" fillId="35" borderId="38" xfId="0" applyFont="1" applyFill="1" applyBorder="1" applyAlignment="1" applyProtection="1">
      <alignment/>
      <protection/>
    </xf>
    <xf numFmtId="0" fontId="65" fillId="35" borderId="12" xfId="0" applyFont="1" applyFill="1" applyBorder="1" applyAlignment="1" applyProtection="1">
      <alignment/>
      <protection/>
    </xf>
    <xf numFmtId="0" fontId="65" fillId="35" borderId="39" xfId="0" applyFont="1" applyFill="1" applyBorder="1" applyAlignment="1" applyProtection="1">
      <alignment/>
      <protection/>
    </xf>
    <xf numFmtId="0" fontId="75" fillId="35" borderId="34" xfId="0" applyFont="1" applyFill="1" applyBorder="1" applyAlignment="1" applyProtection="1">
      <alignment/>
      <protection/>
    </xf>
    <xf numFmtId="0" fontId="65" fillId="35" borderId="11" xfId="0" applyFont="1" applyFill="1" applyBorder="1" applyAlignment="1" applyProtection="1">
      <alignment horizontal="center"/>
      <protection/>
    </xf>
    <xf numFmtId="0" fontId="65" fillId="35" borderId="11" xfId="0" applyFont="1" applyFill="1" applyBorder="1" applyAlignment="1" applyProtection="1">
      <alignment horizontal="center" wrapText="1"/>
      <protection/>
    </xf>
    <xf numFmtId="0" fontId="65" fillId="35" borderId="11" xfId="0" applyFont="1" applyFill="1" applyBorder="1" applyAlignment="1" applyProtection="1">
      <alignment/>
      <protection/>
    </xf>
    <xf numFmtId="42" fontId="65" fillId="35" borderId="0" xfId="0" applyNumberFormat="1" applyFont="1" applyFill="1" applyBorder="1" applyAlignment="1" applyProtection="1">
      <alignment/>
      <protection/>
    </xf>
    <xf numFmtId="10" fontId="65" fillId="35" borderId="0" xfId="0" applyNumberFormat="1" applyFont="1" applyFill="1" applyBorder="1" applyAlignment="1" applyProtection="1">
      <alignment/>
      <protection/>
    </xf>
    <xf numFmtId="0" fontId="76" fillId="35" borderId="35" xfId="0" applyFont="1" applyFill="1" applyBorder="1" applyAlignment="1" applyProtection="1">
      <alignment horizontal="center"/>
      <protection/>
    </xf>
    <xf numFmtId="0" fontId="65" fillId="35" borderId="36" xfId="0" applyFont="1" applyFill="1" applyBorder="1" applyAlignment="1" applyProtection="1">
      <alignment/>
      <protection/>
    </xf>
    <xf numFmtId="0" fontId="65" fillId="35" borderId="37" xfId="0" applyFont="1" applyFill="1" applyBorder="1" applyAlignment="1" applyProtection="1">
      <alignment/>
      <protection/>
    </xf>
    <xf numFmtId="0" fontId="73" fillId="35" borderId="40" xfId="0" applyFont="1" applyFill="1" applyBorder="1" applyAlignment="1" applyProtection="1">
      <alignment/>
      <protection/>
    </xf>
    <xf numFmtId="0" fontId="65" fillId="35" borderId="41" xfId="0" applyFont="1" applyFill="1" applyBorder="1" applyAlignment="1" applyProtection="1">
      <alignment/>
      <protection/>
    </xf>
    <xf numFmtId="0" fontId="65" fillId="35" borderId="42" xfId="0" applyFont="1" applyFill="1" applyBorder="1" applyAlignment="1" applyProtection="1">
      <alignment/>
      <protection/>
    </xf>
    <xf numFmtId="0" fontId="65" fillId="35" borderId="0" xfId="0" applyFont="1" applyFill="1" applyBorder="1" applyAlignment="1" applyProtection="1">
      <alignment horizontal="centerContinuous"/>
      <protection/>
    </xf>
    <xf numFmtId="0" fontId="62" fillId="35" borderId="0" xfId="0" applyFont="1" applyFill="1" applyBorder="1" applyAlignment="1" applyProtection="1">
      <alignment/>
      <protection/>
    </xf>
    <xf numFmtId="0" fontId="62" fillId="35" borderId="35" xfId="0" applyFont="1" applyFill="1" applyBorder="1" applyAlignment="1" applyProtection="1">
      <alignment/>
      <protection/>
    </xf>
    <xf numFmtId="0" fontId="65" fillId="35" borderId="34" xfId="0" applyFont="1" applyFill="1" applyBorder="1" applyAlignment="1" applyProtection="1">
      <alignment horizontal="left" indent="20"/>
      <protection/>
    </xf>
    <xf numFmtId="169" fontId="65" fillId="35" borderId="0" xfId="0" applyNumberFormat="1" applyFont="1" applyFill="1" applyBorder="1" applyAlignment="1" applyProtection="1">
      <alignment/>
      <protection/>
    </xf>
    <xf numFmtId="0" fontId="76" fillId="35" borderId="0" xfId="0" applyFont="1" applyFill="1" applyBorder="1" applyAlignment="1" applyProtection="1">
      <alignment horizontal="center"/>
      <protection/>
    </xf>
    <xf numFmtId="0" fontId="75" fillId="35" borderId="36" xfId="0" applyFont="1" applyFill="1" applyBorder="1" applyAlignment="1" applyProtection="1">
      <alignment/>
      <protection/>
    </xf>
    <xf numFmtId="0" fontId="70" fillId="35" borderId="38" xfId="0" applyFont="1" applyFill="1" applyBorder="1" applyAlignment="1" applyProtection="1">
      <alignment/>
      <protection/>
    </xf>
    <xf numFmtId="0" fontId="73" fillId="35" borderId="0" xfId="0" applyFont="1" applyFill="1" applyBorder="1" applyAlignment="1" applyProtection="1">
      <alignment horizontal="center"/>
      <protection/>
    </xf>
    <xf numFmtId="42" fontId="65" fillId="35" borderId="43" xfId="0" applyNumberFormat="1" applyFont="1" applyFill="1" applyBorder="1" applyAlignment="1" applyProtection="1">
      <alignment/>
      <protection/>
    </xf>
    <xf numFmtId="42" fontId="65" fillId="35" borderId="44" xfId="0" applyNumberFormat="1" applyFont="1" applyFill="1" applyBorder="1" applyAlignment="1" applyProtection="1">
      <alignment/>
      <protection/>
    </xf>
    <xf numFmtId="0" fontId="65" fillId="35" borderId="0" xfId="0" applyFont="1" applyFill="1" applyBorder="1" applyAlignment="1" applyProtection="1">
      <alignment horizontal="left" indent="1"/>
      <protection/>
    </xf>
    <xf numFmtId="0" fontId="65" fillId="35" borderId="0" xfId="0" applyFont="1" applyFill="1" applyBorder="1" applyAlignment="1" applyProtection="1">
      <alignment/>
      <protection/>
    </xf>
    <xf numFmtId="42" fontId="65" fillId="35" borderId="45" xfId="0" applyNumberFormat="1" applyFont="1" applyFill="1" applyBorder="1" applyAlignment="1" applyProtection="1">
      <alignment/>
      <protection/>
    </xf>
    <xf numFmtId="42" fontId="65" fillId="35" borderId="46" xfId="0" applyNumberFormat="1" applyFont="1" applyFill="1" applyBorder="1" applyAlignment="1" applyProtection="1">
      <alignment/>
      <protection/>
    </xf>
    <xf numFmtId="42" fontId="65" fillId="35" borderId="23" xfId="0" applyNumberFormat="1" applyFont="1" applyFill="1" applyBorder="1" applyAlignment="1" applyProtection="1">
      <alignment/>
      <protection/>
    </xf>
    <xf numFmtId="42" fontId="65" fillId="35" borderId="25" xfId="0" applyNumberFormat="1" applyFont="1" applyFill="1" applyBorder="1" applyAlignment="1" applyProtection="1">
      <alignment/>
      <protection/>
    </xf>
    <xf numFmtId="0" fontId="65" fillId="35" borderId="19" xfId="0" applyFont="1" applyFill="1" applyBorder="1" applyAlignment="1" applyProtection="1">
      <alignment/>
      <protection/>
    </xf>
    <xf numFmtId="0" fontId="65" fillId="35" borderId="20" xfId="0" applyFont="1" applyFill="1" applyBorder="1" applyAlignment="1" applyProtection="1">
      <alignment/>
      <protection/>
    </xf>
    <xf numFmtId="0" fontId="65" fillId="35" borderId="34" xfId="0" applyFont="1" applyFill="1" applyBorder="1" applyAlignment="1" applyProtection="1">
      <alignment horizontal="left" indent="12"/>
      <protection/>
    </xf>
    <xf numFmtId="42" fontId="65" fillId="35" borderId="22" xfId="0" applyNumberFormat="1" applyFont="1" applyFill="1" applyBorder="1" applyAlignment="1" applyProtection="1">
      <alignment/>
      <protection/>
    </xf>
    <xf numFmtId="9" fontId="65" fillId="34" borderId="18" xfId="0" applyNumberFormat="1" applyFont="1" applyFill="1" applyBorder="1" applyAlignment="1" applyProtection="1">
      <alignment horizontal="center" vertical="center"/>
      <protection/>
    </xf>
    <xf numFmtId="42" fontId="65" fillId="35" borderId="11" xfId="0" applyNumberFormat="1" applyFont="1" applyFill="1" applyBorder="1" applyAlignment="1" applyProtection="1">
      <alignment/>
      <protection/>
    </xf>
    <xf numFmtId="9" fontId="65" fillId="34" borderId="47" xfId="0" applyNumberFormat="1" applyFont="1" applyFill="1" applyBorder="1" applyAlignment="1" applyProtection="1">
      <alignment horizontal="center" vertical="center"/>
      <protection/>
    </xf>
    <xf numFmtId="0" fontId="73" fillId="35" borderId="34" xfId="0" applyFont="1" applyFill="1" applyBorder="1" applyAlignment="1" applyProtection="1">
      <alignment horizontal="left" indent="12"/>
      <protection/>
    </xf>
    <xf numFmtId="0" fontId="65" fillId="35" borderId="23" xfId="0" applyFont="1" applyFill="1" applyBorder="1" applyAlignment="1" applyProtection="1">
      <alignment/>
      <protection/>
    </xf>
    <xf numFmtId="42" fontId="65" fillId="35" borderId="24" xfId="0" applyNumberFormat="1" applyFont="1" applyFill="1" applyBorder="1" applyAlignment="1" applyProtection="1">
      <alignment/>
      <protection/>
    </xf>
    <xf numFmtId="0" fontId="70" fillId="35" borderId="34" xfId="55" applyFont="1" applyFill="1" applyBorder="1" applyProtection="1">
      <alignment/>
      <protection/>
    </xf>
    <xf numFmtId="0" fontId="19" fillId="35" borderId="0" xfId="55" applyFont="1" applyFill="1" applyBorder="1" applyAlignment="1" applyProtection="1">
      <alignment horizontal="center"/>
      <protection/>
    </xf>
    <xf numFmtId="0" fontId="19" fillId="35" borderId="34" xfId="55" applyFont="1" applyFill="1" applyBorder="1" applyAlignment="1" applyProtection="1">
      <alignment horizontal="right"/>
      <protection/>
    </xf>
    <xf numFmtId="170" fontId="65" fillId="35" borderId="14" xfId="55" applyNumberFormat="1" applyFont="1" applyFill="1" applyBorder="1" applyAlignment="1" applyProtection="1">
      <alignment horizontal="right"/>
      <protection/>
    </xf>
    <xf numFmtId="170" fontId="19" fillId="35" borderId="13" xfId="55" applyNumberFormat="1" applyFont="1" applyFill="1" applyBorder="1" applyProtection="1">
      <alignment/>
      <protection/>
    </xf>
    <xf numFmtId="0" fontId="62" fillId="35" borderId="0" xfId="0" applyFont="1" applyFill="1" applyAlignment="1" applyProtection="1">
      <alignment/>
      <protection/>
    </xf>
    <xf numFmtId="171" fontId="62" fillId="35" borderId="0" xfId="42" applyNumberFormat="1" applyFont="1" applyFill="1" applyAlignment="1" applyProtection="1">
      <alignment/>
      <protection/>
    </xf>
    <xf numFmtId="170" fontId="19" fillId="35" borderId="14" xfId="55" applyNumberFormat="1" applyFont="1" applyFill="1" applyBorder="1" applyProtection="1">
      <alignment/>
      <protection/>
    </xf>
    <xf numFmtId="171" fontId="62" fillId="35" borderId="0" xfId="42" applyNumberFormat="1" applyFont="1" applyFill="1" applyBorder="1" applyAlignment="1" applyProtection="1">
      <alignment/>
      <protection/>
    </xf>
    <xf numFmtId="170" fontId="19" fillId="35" borderId="15" xfId="55" applyNumberFormat="1" applyFont="1" applyFill="1" applyBorder="1" applyProtection="1">
      <alignment/>
      <protection/>
    </xf>
    <xf numFmtId="170" fontId="65" fillId="35" borderId="14" xfId="55" applyNumberFormat="1" applyFont="1" applyFill="1" applyBorder="1" applyAlignment="1" applyProtection="1">
      <alignment horizontal="right" vertical="center"/>
      <protection/>
    </xf>
    <xf numFmtId="42" fontId="65" fillId="35" borderId="14" xfId="0" applyNumberFormat="1" applyFont="1" applyFill="1" applyBorder="1" applyAlignment="1" applyProtection="1">
      <alignment vertical="center"/>
      <protection/>
    </xf>
    <xf numFmtId="171" fontId="62" fillId="35" borderId="0" xfId="0" applyNumberFormat="1" applyFont="1" applyFill="1" applyBorder="1" applyAlignment="1" applyProtection="1">
      <alignment/>
      <protection/>
    </xf>
    <xf numFmtId="0" fontId="73" fillId="35" borderId="34" xfId="0" applyFont="1" applyFill="1" applyBorder="1" applyAlignment="1" applyProtection="1">
      <alignment horizontal="center"/>
      <protection/>
    </xf>
    <xf numFmtId="0" fontId="65" fillId="35" borderId="14" xfId="0" applyNumberFormat="1" applyFont="1" applyFill="1" applyBorder="1" applyAlignment="1" applyProtection="1">
      <alignment/>
      <protection/>
    </xf>
    <xf numFmtId="1" fontId="65" fillId="35" borderId="14" xfId="0" applyNumberFormat="1" applyFont="1" applyFill="1" applyBorder="1" applyAlignment="1" applyProtection="1">
      <alignment/>
      <protection/>
    </xf>
    <xf numFmtId="0" fontId="77" fillId="35" borderId="0" xfId="0" applyFont="1" applyFill="1" applyBorder="1" applyAlignment="1" applyProtection="1">
      <alignment/>
      <protection/>
    </xf>
    <xf numFmtId="0" fontId="78" fillId="35" borderId="0" xfId="0" applyFont="1" applyFill="1" applyBorder="1" applyAlignment="1" applyProtection="1">
      <alignment/>
      <protection/>
    </xf>
    <xf numFmtId="9" fontId="78" fillId="35" borderId="0" xfId="0" applyNumberFormat="1" applyFont="1" applyFill="1" applyBorder="1" applyAlignment="1" applyProtection="1">
      <alignment horizontal="left"/>
      <protection/>
    </xf>
    <xf numFmtId="0" fontId="12" fillId="35" borderId="0" xfId="0" applyFont="1" applyFill="1" applyAlignment="1" applyProtection="1">
      <alignment/>
      <protection/>
    </xf>
    <xf numFmtId="0" fontId="78" fillId="35" borderId="0" xfId="0" applyFont="1" applyFill="1" applyBorder="1" applyAlignment="1" applyProtection="1">
      <alignment horizontal="left"/>
      <protection/>
    </xf>
    <xf numFmtId="0" fontId="61" fillId="0" borderId="0" xfId="0" applyFont="1" applyAlignment="1" applyProtection="1">
      <alignment/>
      <protection/>
    </xf>
    <xf numFmtId="0" fontId="62" fillId="0" borderId="0" xfId="0" applyFont="1" applyAlignment="1" applyProtection="1">
      <alignment/>
      <protection/>
    </xf>
    <xf numFmtId="0" fontId="65" fillId="0" borderId="0" xfId="0" applyFont="1" applyFill="1" applyAlignment="1" applyProtection="1">
      <alignment horizontal="right"/>
      <protection/>
    </xf>
    <xf numFmtId="166" fontId="65" fillId="0" borderId="0" xfId="0" applyNumberFormat="1" applyFont="1" applyFill="1" applyAlignment="1" applyProtection="1">
      <alignment horizontal="right"/>
      <protection/>
    </xf>
    <xf numFmtId="0" fontId="62" fillId="0" borderId="0" xfId="0" applyFont="1" applyAlignment="1" applyProtection="1">
      <alignment horizontal="right"/>
      <protection/>
    </xf>
    <xf numFmtId="0" fontId="62" fillId="0" borderId="0" xfId="0" applyFont="1" applyAlignment="1" applyProtection="1">
      <alignment horizontal="right"/>
      <protection/>
    </xf>
    <xf numFmtId="0" fontId="62" fillId="36" borderId="0" xfId="0" applyFont="1" applyFill="1" applyAlignment="1" applyProtection="1">
      <alignment/>
      <protection/>
    </xf>
    <xf numFmtId="0" fontId="62" fillId="37" borderId="0" xfId="0" applyFont="1" applyFill="1" applyAlignment="1" applyProtection="1">
      <alignment horizontal="center"/>
      <protection/>
    </xf>
    <xf numFmtId="0" fontId="62" fillId="0" borderId="0" xfId="0" applyFont="1" applyAlignment="1" applyProtection="1">
      <alignment horizontal="center"/>
      <protection/>
    </xf>
    <xf numFmtId="0" fontId="62" fillId="30" borderId="0" xfId="0" applyFont="1" applyFill="1" applyAlignment="1" applyProtection="1">
      <alignment horizontal="center"/>
      <protection/>
    </xf>
    <xf numFmtId="0" fontId="62" fillId="38" borderId="0" xfId="0" applyFont="1" applyFill="1" applyAlignment="1" applyProtection="1">
      <alignment horizontal="center"/>
      <protection/>
    </xf>
    <xf numFmtId="0" fontId="62" fillId="0" borderId="0" xfId="0" applyFont="1" applyFill="1" applyAlignment="1" applyProtection="1">
      <alignment horizontal="center"/>
      <protection/>
    </xf>
    <xf numFmtId="0" fontId="62" fillId="39" borderId="0" xfId="0" applyFont="1" applyFill="1" applyAlignment="1" applyProtection="1">
      <alignment/>
      <protection/>
    </xf>
    <xf numFmtId="0" fontId="62" fillId="37" borderId="0" xfId="0" applyFont="1" applyFill="1" applyAlignment="1" applyProtection="1">
      <alignment/>
      <protection/>
    </xf>
    <xf numFmtId="0" fontId="62" fillId="38" borderId="0" xfId="0" applyFont="1" applyFill="1" applyAlignment="1" applyProtection="1">
      <alignment/>
      <protection/>
    </xf>
    <xf numFmtId="0" fontId="62" fillId="30" borderId="0" xfId="0" applyFont="1" applyFill="1" applyAlignment="1" applyProtection="1">
      <alignment/>
      <protection/>
    </xf>
    <xf numFmtId="0" fontId="61" fillId="37" borderId="0" xfId="0" applyFont="1" applyFill="1" applyAlignment="1" applyProtection="1">
      <alignment/>
      <protection/>
    </xf>
    <xf numFmtId="0" fontId="61" fillId="38" borderId="0" xfId="0" applyFont="1" applyFill="1" applyAlignment="1" applyProtection="1">
      <alignment/>
      <protection/>
    </xf>
    <xf numFmtId="0" fontId="62" fillId="36" borderId="0" xfId="0" applyFont="1" applyFill="1" applyAlignment="1" applyProtection="1">
      <alignment/>
      <protection/>
    </xf>
    <xf numFmtId="0" fontId="62" fillId="40" borderId="0" xfId="0" applyFont="1" applyFill="1" applyAlignment="1" applyProtection="1">
      <alignment/>
      <protection/>
    </xf>
    <xf numFmtId="172" fontId="65" fillId="0" borderId="0" xfId="0" applyNumberFormat="1" applyFont="1" applyFill="1" applyAlignment="1" applyProtection="1">
      <alignment horizontal="right"/>
      <protection/>
    </xf>
    <xf numFmtId="0" fontId="62" fillId="39" borderId="0" xfId="0" applyFont="1" applyFill="1" applyAlignment="1" applyProtection="1">
      <alignment horizontal="center"/>
      <protection/>
    </xf>
    <xf numFmtId="0" fontId="62" fillId="0" borderId="10" xfId="0" applyFont="1" applyFill="1" applyBorder="1" applyAlignment="1" applyProtection="1">
      <alignment horizontal="center" wrapText="1"/>
      <protection/>
    </xf>
    <xf numFmtId="0" fontId="79" fillId="36" borderId="10" xfId="0" applyFont="1" applyFill="1" applyBorder="1" applyAlignment="1" applyProtection="1">
      <alignment horizontal="center" textRotation="90" wrapText="1"/>
      <protection/>
    </xf>
    <xf numFmtId="0" fontId="62" fillId="37" borderId="10" xfId="0" applyFont="1" applyFill="1" applyBorder="1" applyAlignment="1" applyProtection="1">
      <alignment horizontal="center" vertical="center" wrapText="1"/>
      <protection/>
    </xf>
    <xf numFmtId="0" fontId="62" fillId="0" borderId="10" xfId="0" applyFont="1" applyBorder="1" applyAlignment="1" applyProtection="1">
      <alignment horizontal="center" vertical="center" wrapText="1"/>
      <protection/>
    </xf>
    <xf numFmtId="0" fontId="62" fillId="0" borderId="10" xfId="0" applyFont="1" applyBorder="1" applyAlignment="1" applyProtection="1">
      <alignment horizontal="center" vertical="center"/>
      <protection/>
    </xf>
    <xf numFmtId="0" fontId="62" fillId="37" borderId="10" xfId="0" applyFont="1" applyFill="1" applyBorder="1" applyAlignment="1" applyProtection="1">
      <alignment horizontal="center" wrapText="1"/>
      <protection/>
    </xf>
    <xf numFmtId="0" fontId="62" fillId="30" borderId="10" xfId="0" applyFont="1" applyFill="1" applyBorder="1" applyAlignment="1" applyProtection="1">
      <alignment horizontal="center" vertical="center" wrapText="1"/>
      <protection/>
    </xf>
    <xf numFmtId="0" fontId="62" fillId="38" borderId="10" xfId="0" applyFont="1" applyFill="1" applyBorder="1" applyAlignment="1" applyProtection="1">
      <alignment horizontal="center" vertical="center" wrapText="1"/>
      <protection/>
    </xf>
    <xf numFmtId="0" fontId="62" fillId="0" borderId="10" xfId="0" applyFont="1" applyFill="1" applyBorder="1" applyAlignment="1" applyProtection="1">
      <alignment horizontal="center" vertical="center" wrapText="1"/>
      <protection/>
    </xf>
    <xf numFmtId="0" fontId="62" fillId="39" borderId="10" xfId="0" applyFont="1" applyFill="1" applyBorder="1" applyAlignment="1" applyProtection="1">
      <alignment horizontal="center" vertical="center" wrapText="1"/>
      <protection/>
    </xf>
    <xf numFmtId="0" fontId="61" fillId="37" borderId="10" xfId="0" applyFont="1" applyFill="1" applyBorder="1" applyAlignment="1" applyProtection="1">
      <alignment horizontal="center" vertical="center" wrapText="1"/>
      <protection/>
    </xf>
    <xf numFmtId="0" fontId="61" fillId="38" borderId="10" xfId="0" applyFont="1" applyFill="1" applyBorder="1" applyAlignment="1" applyProtection="1">
      <alignment horizontal="center" vertical="center" wrapText="1"/>
      <protection/>
    </xf>
    <xf numFmtId="0" fontId="62" fillId="40" borderId="10" xfId="0" applyFont="1" applyFill="1" applyBorder="1" applyAlignment="1" applyProtection="1">
      <alignment horizontal="center" vertical="center" wrapText="1"/>
      <protection/>
    </xf>
    <xf numFmtId="0" fontId="62" fillId="0" borderId="0" xfId="0" applyFont="1" applyAlignment="1" applyProtection="1">
      <alignment horizontal="center" vertical="center" wrapText="1"/>
      <protection/>
    </xf>
    <xf numFmtId="166" fontId="62" fillId="0" borderId="0" xfId="0" applyNumberFormat="1" applyFont="1" applyAlignment="1" applyProtection="1">
      <alignment/>
      <protection/>
    </xf>
    <xf numFmtId="1" fontId="62" fillId="0" borderId="0" xfId="0" applyNumberFormat="1" applyFont="1" applyFill="1" applyAlignment="1" applyProtection="1">
      <alignment/>
      <protection/>
    </xf>
    <xf numFmtId="166" fontId="62" fillId="36" borderId="0" xfId="0" applyNumberFormat="1" applyFont="1" applyFill="1" applyAlignment="1" applyProtection="1">
      <alignment/>
      <protection/>
    </xf>
    <xf numFmtId="41" fontId="62" fillId="0" borderId="0" xfId="44" applyNumberFormat="1" applyFont="1" applyAlignment="1" applyProtection="1">
      <alignment/>
      <protection/>
    </xf>
    <xf numFmtId="41" fontId="62" fillId="0" borderId="0" xfId="0" applyNumberFormat="1" applyFont="1" applyAlignment="1" applyProtection="1">
      <alignment/>
      <protection/>
    </xf>
    <xf numFmtId="41" fontId="16" fillId="0" borderId="0" xfId="0" applyNumberFormat="1" applyFont="1" applyAlignment="1" applyProtection="1">
      <alignment/>
      <protection/>
    </xf>
    <xf numFmtId="41" fontId="61" fillId="0" borderId="0" xfId="0" applyNumberFormat="1" applyFont="1" applyAlignment="1" applyProtection="1">
      <alignment/>
      <protection/>
    </xf>
    <xf numFmtId="166" fontId="62" fillId="36" borderId="0" xfId="0" applyNumberFormat="1" applyFont="1" applyFill="1" applyAlignment="1" applyProtection="1">
      <alignment/>
      <protection/>
    </xf>
    <xf numFmtId="10" fontId="62" fillId="0" borderId="0" xfId="0" applyNumberFormat="1" applyFont="1" applyFill="1" applyAlignment="1" applyProtection="1">
      <alignment/>
      <protection/>
    </xf>
    <xf numFmtId="41" fontId="62" fillId="0" borderId="0" xfId="0" applyNumberFormat="1" applyFont="1" applyFill="1" applyAlignment="1" applyProtection="1">
      <alignment/>
      <protection/>
    </xf>
    <xf numFmtId="166" fontId="62" fillId="36" borderId="0" xfId="0" applyNumberFormat="1" applyFont="1" applyFill="1" applyBorder="1" applyAlignment="1" applyProtection="1">
      <alignment/>
      <protection/>
    </xf>
    <xf numFmtId="41" fontId="80" fillId="0" borderId="0" xfId="0" applyNumberFormat="1" applyFont="1" applyAlignment="1" applyProtection="1">
      <alignment/>
      <protection/>
    </xf>
    <xf numFmtId="0" fontId="81" fillId="0" borderId="0" xfId="0" applyFont="1" applyAlignment="1" applyProtection="1">
      <alignment/>
      <protection/>
    </xf>
    <xf numFmtId="164" fontId="62" fillId="0" borderId="0" xfId="0" applyNumberFormat="1" applyFont="1" applyAlignment="1" applyProtection="1">
      <alignment/>
      <protection/>
    </xf>
    <xf numFmtId="41" fontId="62" fillId="0" borderId="0" xfId="44" applyNumberFormat="1" applyFont="1" applyAlignment="1" applyProtection="1">
      <alignment/>
      <protection/>
    </xf>
    <xf numFmtId="41" fontId="16" fillId="0" borderId="0" xfId="44" applyNumberFormat="1" applyFont="1" applyAlignment="1" applyProtection="1">
      <alignment/>
      <protection/>
    </xf>
    <xf numFmtId="41" fontId="61" fillId="0" borderId="0" xfId="44" applyNumberFormat="1" applyFont="1" applyAlignment="1" applyProtection="1">
      <alignment/>
      <protection/>
    </xf>
    <xf numFmtId="165" fontId="62" fillId="0" borderId="0" xfId="44" applyNumberFormat="1" applyFont="1" applyAlignment="1" applyProtection="1">
      <alignment/>
      <protection/>
    </xf>
    <xf numFmtId="0" fontId="61" fillId="0" borderId="0" xfId="0" applyFont="1" applyFill="1" applyAlignment="1" applyProtection="1">
      <alignment/>
      <protection/>
    </xf>
    <xf numFmtId="0" fontId="62" fillId="0" borderId="0" xfId="0" applyFont="1" applyFill="1" applyAlignment="1" applyProtection="1">
      <alignment horizontal="center"/>
      <protection/>
    </xf>
    <xf numFmtId="0" fontId="62" fillId="0" borderId="0" xfId="0" applyFont="1" applyFill="1" applyAlignment="1" applyProtection="1">
      <alignment/>
      <protection/>
    </xf>
    <xf numFmtId="0" fontId="62" fillId="0" borderId="0" xfId="0" applyFont="1" applyFill="1" applyAlignment="1" applyProtection="1">
      <alignment horizontal="center"/>
      <protection/>
    </xf>
    <xf numFmtId="0" fontId="62" fillId="0" borderId="0" xfId="0" applyFont="1" applyFill="1" applyAlignment="1" applyProtection="1">
      <alignment horizontal="center"/>
      <protection/>
    </xf>
    <xf numFmtId="0" fontId="62" fillId="0" borderId="0" xfId="0" applyFont="1" applyFill="1" applyAlignment="1" applyProtection="1">
      <alignment horizontal="center"/>
      <protection/>
    </xf>
    <xf numFmtId="0" fontId="62" fillId="0" borderId="0" xfId="0" applyFont="1" applyFill="1" applyAlignment="1" applyProtection="1">
      <alignment horizontal="center"/>
      <protection/>
    </xf>
    <xf numFmtId="0" fontId="82" fillId="0" borderId="0" xfId="0" applyFont="1" applyFill="1" applyAlignment="1" applyProtection="1">
      <alignment horizontal="right" indent="2"/>
      <protection/>
    </xf>
    <xf numFmtId="0" fontId="62" fillId="0" borderId="48" xfId="0" applyFont="1" applyFill="1" applyBorder="1" applyAlignment="1" applyProtection="1">
      <alignment horizontal="center"/>
      <protection/>
    </xf>
    <xf numFmtId="0" fontId="12" fillId="0" borderId="0" xfId="0" applyFont="1" applyFill="1" applyAlignment="1" applyProtection="1">
      <alignment/>
      <protection/>
    </xf>
    <xf numFmtId="0" fontId="63" fillId="0" borderId="0" xfId="0" applyFont="1" applyFill="1" applyAlignment="1" applyProtection="1">
      <alignment horizontal="center"/>
      <protection/>
    </xf>
    <xf numFmtId="0" fontId="66" fillId="0" borderId="0" xfId="0" applyFont="1" applyAlignment="1" applyProtection="1">
      <alignment/>
      <protection/>
    </xf>
    <xf numFmtId="0" fontId="61" fillId="0" borderId="0" xfId="0" applyFont="1" applyFill="1" applyAlignment="1" applyProtection="1">
      <alignment horizontal="center"/>
      <protection/>
    </xf>
    <xf numFmtId="0" fontId="61" fillId="0" borderId="0" xfId="0" applyFont="1" applyFill="1" applyAlignment="1" applyProtection="1">
      <alignment horizontal="centerContinuous"/>
      <protection/>
    </xf>
    <xf numFmtId="0" fontId="62" fillId="0" borderId="0" xfId="0" applyFont="1" applyFill="1" applyAlignment="1" applyProtection="1">
      <alignment horizontal="centerContinuous"/>
      <protection/>
    </xf>
    <xf numFmtId="0" fontId="61" fillId="0" borderId="0" xfId="0" applyFont="1" applyFill="1" applyAlignment="1" applyProtection="1">
      <alignment horizontal="centerContinuous" wrapText="1"/>
      <protection/>
    </xf>
    <xf numFmtId="0" fontId="61" fillId="0" borderId="0" xfId="0" applyFont="1" applyFill="1" applyBorder="1" applyAlignment="1" applyProtection="1">
      <alignment horizontal="centerContinuous"/>
      <protection/>
    </xf>
    <xf numFmtId="0" fontId="61" fillId="0" borderId="24" xfId="0" applyFont="1" applyFill="1" applyBorder="1" applyAlignment="1" applyProtection="1">
      <alignment horizontal="center" wrapText="1"/>
      <protection/>
    </xf>
    <xf numFmtId="0" fontId="61" fillId="41" borderId="10" xfId="0" applyFont="1" applyFill="1" applyBorder="1" applyAlignment="1" applyProtection="1">
      <alignment horizontal="center" wrapText="1"/>
      <protection/>
    </xf>
    <xf numFmtId="0" fontId="61" fillId="42" borderId="10" xfId="0" applyFont="1" applyFill="1" applyBorder="1" applyAlignment="1" applyProtection="1">
      <alignment horizontal="center" wrapText="1"/>
      <protection/>
    </xf>
    <xf numFmtId="0" fontId="61" fillId="14" borderId="10" xfId="0" applyFont="1" applyFill="1" applyBorder="1" applyAlignment="1" applyProtection="1">
      <alignment horizontal="center" wrapText="1"/>
      <protection/>
    </xf>
    <xf numFmtId="0" fontId="61" fillId="15" borderId="10" xfId="0" applyFont="1" applyFill="1" applyBorder="1" applyAlignment="1" applyProtection="1">
      <alignment horizontal="center" wrapText="1"/>
      <protection/>
    </xf>
    <xf numFmtId="0" fontId="61" fillId="16" borderId="10" xfId="0" applyFont="1" applyFill="1" applyBorder="1" applyAlignment="1" applyProtection="1">
      <alignment horizontal="center" wrapText="1"/>
      <protection/>
    </xf>
    <xf numFmtId="0" fontId="61" fillId="19" borderId="10" xfId="0" applyFont="1" applyFill="1" applyBorder="1" applyAlignment="1" applyProtection="1">
      <alignment horizontal="center" wrapText="1"/>
      <protection/>
    </xf>
    <xf numFmtId="0" fontId="61" fillId="17" borderId="10" xfId="0" applyFont="1" applyFill="1" applyBorder="1" applyAlignment="1" applyProtection="1">
      <alignment horizontal="center" wrapText="1"/>
      <protection/>
    </xf>
    <xf numFmtId="0" fontId="61" fillId="18" borderId="10" xfId="0" applyFont="1" applyFill="1" applyBorder="1" applyAlignment="1" applyProtection="1">
      <alignment horizontal="center" wrapText="1"/>
      <protection/>
    </xf>
    <xf numFmtId="0" fontId="61" fillId="38" borderId="10" xfId="0" applyFont="1" applyFill="1" applyBorder="1" applyAlignment="1" applyProtection="1">
      <alignment horizontal="center" wrapText="1"/>
      <protection/>
    </xf>
    <xf numFmtId="0" fontId="61" fillId="37" borderId="10" xfId="0" applyFont="1" applyFill="1" applyBorder="1" applyAlignment="1" applyProtection="1">
      <alignment horizontal="center" wrapText="1"/>
      <protection/>
    </xf>
    <xf numFmtId="0" fontId="61" fillId="39" borderId="10" xfId="0" applyFont="1" applyFill="1" applyBorder="1" applyAlignment="1" applyProtection="1">
      <alignment horizontal="center" wrapText="1"/>
      <protection/>
    </xf>
    <xf numFmtId="0" fontId="61" fillId="40" borderId="10" xfId="0" applyFont="1" applyFill="1" applyBorder="1" applyAlignment="1" applyProtection="1">
      <alignment horizontal="center" wrapText="1"/>
      <protection/>
    </xf>
    <xf numFmtId="0" fontId="16" fillId="40" borderId="10" xfId="0" applyFont="1" applyFill="1" applyBorder="1" applyAlignment="1" applyProtection="1">
      <alignment horizontal="center" wrapText="1"/>
      <protection/>
    </xf>
    <xf numFmtId="0" fontId="61" fillId="2" borderId="10" xfId="0" applyFont="1" applyFill="1" applyBorder="1" applyAlignment="1" applyProtection="1">
      <alignment horizontal="center" wrapText="1"/>
      <protection/>
    </xf>
    <xf numFmtId="0" fontId="61" fillId="3" borderId="10" xfId="0" applyFont="1" applyFill="1" applyBorder="1" applyAlignment="1" applyProtection="1">
      <alignment horizontal="center" wrapText="1"/>
      <protection/>
    </xf>
    <xf numFmtId="0" fontId="61" fillId="4" borderId="10" xfId="0" applyFont="1" applyFill="1" applyBorder="1" applyAlignment="1" applyProtection="1">
      <alignment horizontal="center" wrapText="1"/>
      <protection/>
    </xf>
    <xf numFmtId="0" fontId="61" fillId="43" borderId="10" xfId="0" applyFont="1" applyFill="1" applyBorder="1" applyAlignment="1" applyProtection="1">
      <alignment horizontal="center" wrapText="1"/>
      <protection/>
    </xf>
    <xf numFmtId="0" fontId="61" fillId="44" borderId="10" xfId="0" applyFont="1" applyFill="1" applyBorder="1" applyAlignment="1" applyProtection="1">
      <alignment horizontal="center" wrapText="1"/>
      <protection/>
    </xf>
    <xf numFmtId="164" fontId="62" fillId="0" borderId="0" xfId="0" applyNumberFormat="1" applyFont="1" applyFill="1" applyAlignment="1" applyProtection="1">
      <alignment/>
      <protection/>
    </xf>
    <xf numFmtId="1" fontId="62" fillId="0" borderId="0" xfId="0" applyNumberFormat="1" applyFont="1" applyFill="1" applyAlignment="1" applyProtection="1">
      <alignment/>
      <protection/>
    </xf>
    <xf numFmtId="0" fontId="62" fillId="0" borderId="0" xfId="0" applyFont="1" applyFill="1" applyAlignment="1" applyProtection="1">
      <alignment horizontal="center"/>
      <protection/>
    </xf>
    <xf numFmtId="41" fontId="62" fillId="0" borderId="0" xfId="0" applyNumberFormat="1" applyFont="1" applyFill="1" applyAlignment="1" applyProtection="1">
      <alignment/>
      <protection/>
    </xf>
    <xf numFmtId="41" fontId="61" fillId="0" borderId="0" xfId="0" applyNumberFormat="1" applyFont="1" applyFill="1" applyAlignment="1" applyProtection="1">
      <alignment/>
      <protection/>
    </xf>
    <xf numFmtId="10" fontId="62" fillId="0" borderId="0" xfId="0" applyNumberFormat="1" applyFont="1" applyFill="1" applyAlignment="1" applyProtection="1">
      <alignment/>
      <protection/>
    </xf>
    <xf numFmtId="41" fontId="12" fillId="0" borderId="0" xfId="0" applyNumberFormat="1" applyFont="1" applyFill="1" applyAlignment="1" applyProtection="1">
      <alignment/>
      <protection/>
    </xf>
    <xf numFmtId="0" fontId="62" fillId="0" borderId="0" xfId="0" applyFont="1" applyFill="1" applyAlignment="1" applyProtection="1">
      <alignment/>
      <protection/>
    </xf>
    <xf numFmtId="0" fontId="62" fillId="0" borderId="0" xfId="0" applyFont="1" applyFill="1" applyAlignment="1" applyProtection="1">
      <alignment/>
      <protection/>
    </xf>
    <xf numFmtId="0" fontId="62" fillId="0" borderId="0" xfId="0" applyFont="1" applyFill="1" applyAlignment="1" applyProtection="1">
      <alignment/>
      <protection/>
    </xf>
    <xf numFmtId="0" fontId="62" fillId="0" borderId="0" xfId="0" applyFont="1" applyFill="1" applyAlignment="1" applyProtection="1">
      <alignment/>
      <protection/>
    </xf>
    <xf numFmtId="41" fontId="82" fillId="0" borderId="0" xfId="0" applyNumberFormat="1" applyFont="1" applyFill="1" applyAlignment="1" applyProtection="1">
      <alignment/>
      <protection/>
    </xf>
    <xf numFmtId="0" fontId="62" fillId="0" borderId="0" xfId="0" applyFont="1" applyFill="1" applyAlignment="1" applyProtection="1">
      <alignment/>
      <protection/>
    </xf>
    <xf numFmtId="0" fontId="62" fillId="0" borderId="0" xfId="0" applyFont="1" applyFill="1" applyAlignment="1" applyProtection="1">
      <alignment/>
      <protection/>
    </xf>
    <xf numFmtId="0" fontId="62" fillId="0" borderId="0" xfId="0" applyFont="1" applyFill="1" applyAlignment="1" applyProtection="1">
      <alignment horizontal="center"/>
      <protection/>
    </xf>
    <xf numFmtId="10" fontId="82" fillId="0" borderId="0" xfId="0" applyNumberFormat="1" applyFont="1" applyFill="1" applyAlignment="1" applyProtection="1">
      <alignment/>
      <protection/>
    </xf>
    <xf numFmtId="0" fontId="62" fillId="0" borderId="0" xfId="0" applyFont="1" applyFill="1" applyAlignment="1" applyProtection="1">
      <alignment/>
      <protection/>
    </xf>
    <xf numFmtId="0" fontId="62" fillId="0" borderId="0" xfId="0" applyFont="1" applyFill="1" applyAlignment="1" applyProtection="1">
      <alignment/>
      <protection/>
    </xf>
    <xf numFmtId="41" fontId="62" fillId="0" borderId="41" xfId="0" applyNumberFormat="1" applyFont="1" applyFill="1" applyBorder="1" applyAlignment="1" applyProtection="1">
      <alignment/>
      <protection/>
    </xf>
    <xf numFmtId="41" fontId="12" fillId="0" borderId="41" xfId="0" applyNumberFormat="1" applyFont="1" applyFill="1" applyBorder="1" applyAlignment="1" applyProtection="1">
      <alignment/>
      <protection/>
    </xf>
    <xf numFmtId="9" fontId="62" fillId="0" borderId="41" xfId="58" applyFont="1" applyFill="1" applyBorder="1" applyAlignment="1" applyProtection="1">
      <alignment/>
      <protection/>
    </xf>
    <xf numFmtId="0" fontId="62" fillId="16" borderId="0" xfId="0" applyFont="1" applyFill="1" applyAlignment="1" applyProtection="1" quotePrefix="1">
      <alignment horizontal="center"/>
      <protection/>
    </xf>
    <xf numFmtId="0" fontId="62" fillId="16" borderId="0" xfId="0" applyNumberFormat="1" applyFont="1" applyFill="1" applyAlignment="1" applyProtection="1">
      <alignment horizontal="center"/>
      <protection/>
    </xf>
    <xf numFmtId="0" fontId="62" fillId="16" borderId="0" xfId="0" applyFont="1" applyFill="1" applyAlignment="1" applyProtection="1">
      <alignment/>
      <protection/>
    </xf>
    <xf numFmtId="164" fontId="62" fillId="16" borderId="0" xfId="0" applyNumberFormat="1" applyFont="1" applyFill="1" applyAlignment="1" applyProtection="1">
      <alignment/>
      <protection/>
    </xf>
    <xf numFmtId="1" fontId="62" fillId="16" borderId="0" xfId="0" applyNumberFormat="1" applyFont="1" applyFill="1" applyAlignment="1" applyProtection="1">
      <alignment/>
      <protection/>
    </xf>
    <xf numFmtId="0" fontId="62" fillId="16" borderId="0" xfId="0" applyFont="1" applyFill="1" applyAlignment="1" applyProtection="1">
      <alignment/>
      <protection/>
    </xf>
    <xf numFmtId="0" fontId="62" fillId="16" borderId="0" xfId="0" applyFont="1" applyFill="1" applyAlignment="1" applyProtection="1">
      <alignment horizontal="center"/>
      <protection/>
    </xf>
    <xf numFmtId="0" fontId="62" fillId="16" borderId="0" xfId="0" applyFont="1" applyFill="1" applyAlignment="1" applyProtection="1">
      <alignment/>
      <protection/>
    </xf>
    <xf numFmtId="3" fontId="62" fillId="16" borderId="0" xfId="0" applyNumberFormat="1" applyFont="1" applyFill="1" applyAlignment="1" applyProtection="1">
      <alignment/>
      <protection/>
    </xf>
    <xf numFmtId="0" fontId="62" fillId="0" borderId="0" xfId="0" applyFont="1" applyFill="1" applyAlignment="1" applyProtection="1">
      <alignment/>
      <protection/>
    </xf>
    <xf numFmtId="43" fontId="62" fillId="0" borderId="0" xfId="0" applyNumberFormat="1" applyFont="1" applyFill="1" applyAlignment="1" applyProtection="1">
      <alignment/>
      <protection/>
    </xf>
    <xf numFmtId="0" fontId="62" fillId="0" borderId="0" xfId="0" applyFont="1" applyFill="1" applyAlignment="1" applyProtection="1">
      <alignment/>
      <protection/>
    </xf>
    <xf numFmtId="171" fontId="62" fillId="0" borderId="0" xfId="42" applyNumberFormat="1" applyFont="1" applyFill="1" applyAlignment="1" applyProtection="1">
      <alignment/>
      <protection/>
    </xf>
    <xf numFmtId="0" fontId="62" fillId="0" borderId="0" xfId="0" applyFont="1" applyFill="1" applyAlignment="1" applyProtection="1">
      <alignment/>
      <protection/>
    </xf>
    <xf numFmtId="41" fontId="62" fillId="0" borderId="11" xfId="0" applyNumberFormat="1" applyFont="1" applyFill="1" applyBorder="1" applyAlignment="1" applyProtection="1">
      <alignment/>
      <protection/>
    </xf>
    <xf numFmtId="0" fontId="62" fillId="0" borderId="0" xfId="0" applyFont="1" applyFill="1" applyAlignment="1" applyProtection="1">
      <alignment/>
      <protection/>
    </xf>
    <xf numFmtId="0" fontId="67" fillId="0" borderId="0" xfId="0" applyFont="1" applyFill="1" applyAlignment="1" applyProtection="1">
      <alignment/>
      <protection/>
    </xf>
    <xf numFmtId="0" fontId="62" fillId="0" borderId="0" xfId="0" applyFont="1" applyBorder="1" applyAlignment="1" applyProtection="1">
      <alignment/>
      <protection/>
    </xf>
    <xf numFmtId="0" fontId="12" fillId="0" borderId="0" xfId="0" applyFont="1" applyAlignment="1" applyProtection="1">
      <alignment/>
      <protection/>
    </xf>
    <xf numFmtId="0" fontId="63" fillId="0" borderId="0" xfId="0" applyFont="1" applyAlignment="1" applyProtection="1">
      <alignment horizontal="center"/>
      <protection/>
    </xf>
    <xf numFmtId="0" fontId="62" fillId="0" borderId="0" xfId="0" applyFont="1" applyBorder="1" applyAlignment="1" applyProtection="1">
      <alignment horizontal="right"/>
      <protection/>
    </xf>
    <xf numFmtId="44" fontId="62" fillId="0" borderId="0" xfId="0" applyNumberFormat="1" applyFont="1" applyBorder="1" applyAlignment="1" applyProtection="1">
      <alignment/>
      <protection/>
    </xf>
    <xf numFmtId="0" fontId="62" fillId="0" borderId="0" xfId="0" applyFont="1" applyAlignment="1" applyProtection="1">
      <alignment/>
      <protection/>
    </xf>
    <xf numFmtId="0" fontId="62" fillId="0" borderId="0" xfId="0" applyFont="1" applyAlignment="1" applyProtection="1">
      <alignment/>
      <protection/>
    </xf>
    <xf numFmtId="0" fontId="62" fillId="0" borderId="0" xfId="0" applyFont="1" applyBorder="1" applyAlignment="1" applyProtection="1" quotePrefix="1">
      <alignment horizontal="right"/>
      <protection/>
    </xf>
    <xf numFmtId="10" fontId="62" fillId="0" borderId="0" xfId="0" applyNumberFormat="1" applyFont="1" applyBorder="1" applyAlignment="1" applyProtection="1" quotePrefix="1">
      <alignment/>
      <protection/>
    </xf>
    <xf numFmtId="10" fontId="62" fillId="0" borderId="0" xfId="0" applyNumberFormat="1" applyFont="1" applyBorder="1" applyAlignment="1" applyProtection="1">
      <alignment/>
      <protection/>
    </xf>
    <xf numFmtId="0" fontId="64" fillId="0" borderId="0" xfId="0" applyFont="1" applyAlignment="1" applyProtection="1">
      <alignment/>
      <protection/>
    </xf>
    <xf numFmtId="0" fontId="64" fillId="0" borderId="0" xfId="0" applyFont="1" applyAlignment="1" applyProtection="1">
      <alignment horizontal="center"/>
      <protection/>
    </xf>
    <xf numFmtId="0" fontId="12" fillId="0" borderId="0" xfId="0" applyFont="1" applyFill="1" applyAlignment="1" applyProtection="1">
      <alignment horizontal="center"/>
      <protection/>
    </xf>
    <xf numFmtId="0" fontId="62" fillId="0" borderId="0" xfId="0" applyFont="1" applyAlignment="1" applyProtection="1">
      <alignment horizontal="center"/>
      <protection/>
    </xf>
    <xf numFmtId="0" fontId="61" fillId="33" borderId="10" xfId="0" applyFont="1" applyFill="1" applyBorder="1" applyAlignment="1" applyProtection="1">
      <alignment horizontal="center" wrapText="1"/>
      <protection/>
    </xf>
    <xf numFmtId="10" fontId="62" fillId="0" borderId="0" xfId="0" applyNumberFormat="1" applyFont="1" applyAlignment="1" applyProtection="1">
      <alignment/>
      <protection/>
    </xf>
    <xf numFmtId="42" fontId="62" fillId="0" borderId="0" xfId="0" applyNumberFormat="1" applyFont="1" applyAlignment="1" applyProtection="1">
      <alignment/>
      <protection/>
    </xf>
    <xf numFmtId="42" fontId="62" fillId="0" borderId="12" xfId="0" applyNumberFormat="1" applyFont="1" applyFill="1" applyBorder="1" applyAlignment="1" applyProtection="1">
      <alignment/>
      <protection/>
    </xf>
    <xf numFmtId="42" fontId="62" fillId="0" borderId="0" xfId="0" applyNumberFormat="1" applyFont="1" applyFill="1" applyBorder="1" applyAlignment="1" applyProtection="1">
      <alignment/>
      <protection/>
    </xf>
    <xf numFmtId="10" fontId="62" fillId="0" borderId="11" xfId="0" applyNumberFormat="1" applyFont="1" applyBorder="1" applyAlignment="1" applyProtection="1">
      <alignment/>
      <protection/>
    </xf>
    <xf numFmtId="42" fontId="62" fillId="0" borderId="11" xfId="0" applyNumberFormat="1" applyFont="1" applyBorder="1" applyAlignment="1" applyProtection="1">
      <alignment/>
      <protection/>
    </xf>
    <xf numFmtId="42" fontId="62" fillId="0" borderId="11" xfId="0" applyNumberFormat="1" applyFont="1" applyFill="1" applyBorder="1" applyAlignment="1" applyProtection="1">
      <alignment/>
      <protection/>
    </xf>
    <xf numFmtId="167" fontId="62" fillId="0" borderId="0" xfId="0" applyNumberFormat="1" applyFont="1" applyAlignment="1" applyProtection="1">
      <alignment/>
      <protection/>
    </xf>
    <xf numFmtId="167" fontId="62" fillId="0" borderId="0" xfId="0" applyNumberFormat="1" applyFont="1" applyFill="1" applyAlignment="1" applyProtection="1">
      <alignment/>
      <protection/>
    </xf>
    <xf numFmtId="168" fontId="61" fillId="0" borderId="0" xfId="0" applyNumberFormat="1" applyFont="1" applyFill="1" applyAlignment="1" applyProtection="1">
      <alignment/>
      <protection/>
    </xf>
    <xf numFmtId="0" fontId="66" fillId="0" borderId="0" xfId="0" applyFont="1" applyFill="1" applyAlignment="1" applyProtection="1">
      <alignment/>
      <protection/>
    </xf>
    <xf numFmtId="0" fontId="62" fillId="0" borderId="0" xfId="0" applyFont="1" applyAlignment="1" applyProtection="1">
      <alignment/>
      <protection/>
    </xf>
    <xf numFmtId="0" fontId="61" fillId="0" borderId="24" xfId="0" applyFont="1" applyBorder="1" applyAlignment="1" applyProtection="1">
      <alignment horizontal="center" wrapText="1"/>
      <protection/>
    </xf>
    <xf numFmtId="0" fontId="61" fillId="0" borderId="10" xfId="0" applyFont="1" applyBorder="1" applyAlignment="1" applyProtection="1">
      <alignment horizontal="center" wrapText="1"/>
      <protection/>
    </xf>
    <xf numFmtId="37" fontId="83" fillId="0" borderId="0" xfId="0" applyNumberFormat="1" applyFont="1" applyAlignment="1" applyProtection="1">
      <alignment/>
      <protection/>
    </xf>
    <xf numFmtId="37" fontId="62" fillId="0" borderId="0" xfId="0" applyNumberFormat="1" applyFont="1" applyAlignment="1" applyProtection="1">
      <alignment/>
      <protection/>
    </xf>
    <xf numFmtId="37" fontId="61" fillId="0" borderId="41" xfId="0" applyNumberFormat="1" applyFont="1" applyBorder="1" applyAlignment="1" applyProtection="1">
      <alignment/>
      <protection/>
    </xf>
    <xf numFmtId="37" fontId="61" fillId="0" borderId="0" xfId="0" applyNumberFormat="1" applyFont="1" applyAlignment="1" applyProtection="1">
      <alignment/>
      <protection/>
    </xf>
    <xf numFmtId="37" fontId="62" fillId="0" borderId="0" xfId="0" applyNumberFormat="1" applyFont="1" applyAlignment="1" applyProtection="1">
      <alignment/>
      <protection/>
    </xf>
    <xf numFmtId="0" fontId="62" fillId="0" borderId="0" xfId="0" applyFont="1" applyAlignment="1" applyProtection="1">
      <alignment/>
      <protection/>
    </xf>
    <xf numFmtId="0" fontId="62" fillId="0" borderId="0" xfId="0" applyFont="1" applyAlignment="1" applyProtection="1">
      <alignment/>
      <protection/>
    </xf>
    <xf numFmtId="0" fontId="62" fillId="0" borderId="0" xfId="0" applyFont="1" applyAlignment="1" applyProtection="1">
      <alignment/>
      <protection/>
    </xf>
    <xf numFmtId="0" fontId="65" fillId="34" borderId="43" xfId="0" applyFont="1" applyFill="1" applyBorder="1" applyAlignment="1" applyProtection="1">
      <alignment horizontal="center" vertical="center"/>
      <protection locked="0"/>
    </xf>
    <xf numFmtId="0" fontId="65" fillId="34" borderId="49" xfId="0" applyFont="1" applyFill="1" applyBorder="1" applyAlignment="1" applyProtection="1">
      <alignment horizontal="center" vertical="center"/>
      <protection locked="0"/>
    </xf>
    <xf numFmtId="0" fontId="65" fillId="34" borderId="44" xfId="0" applyFont="1" applyFill="1" applyBorder="1" applyAlignment="1" applyProtection="1">
      <alignment horizontal="center" vertical="center"/>
      <protection locked="0"/>
    </xf>
    <xf numFmtId="0" fontId="65" fillId="34" borderId="43" xfId="0" applyFont="1" applyFill="1" applyBorder="1" applyAlignment="1" applyProtection="1">
      <alignment horizontal="center" vertical="center"/>
      <protection/>
    </xf>
    <xf numFmtId="0" fontId="65" fillId="34" borderId="49" xfId="0" applyFont="1" applyFill="1" applyBorder="1" applyAlignment="1" applyProtection="1">
      <alignment horizontal="center" vertical="center"/>
      <protection/>
    </xf>
    <xf numFmtId="0" fontId="65" fillId="34" borderId="44" xfId="0" applyFont="1" applyFill="1" applyBorder="1" applyAlignment="1" applyProtection="1">
      <alignment horizontal="center" vertical="center"/>
      <protection/>
    </xf>
    <xf numFmtId="0" fontId="65" fillId="35" borderId="34" xfId="0" applyFont="1" applyFill="1" applyBorder="1" applyAlignment="1" applyProtection="1">
      <alignment wrapText="1"/>
      <protection/>
    </xf>
    <xf numFmtId="0" fontId="65" fillId="35" borderId="22" xfId="0" applyFont="1" applyFill="1" applyBorder="1" applyAlignment="1" applyProtection="1">
      <alignment wrapText="1"/>
      <protection/>
    </xf>
    <xf numFmtId="0" fontId="64" fillId="0" borderId="11" xfId="0" applyFont="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te" xfId="56"/>
    <cellStyle name="Output" xfId="57"/>
    <cellStyle name="Percent" xfId="58"/>
    <cellStyle name="Title" xfId="59"/>
    <cellStyle name="Total" xfId="60"/>
    <cellStyle name="Warning Text" xfId="61"/>
  </cellStyles>
  <dxfs count="9">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border/>
    </dxf>
    <dxf>
      <font>
        <color rgb="FF9C0006"/>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0</xdr:row>
      <xdr:rowOff>28575</xdr:rowOff>
    </xdr:from>
    <xdr:to>
      <xdr:col>11</xdr:col>
      <xdr:colOff>9525</xdr:colOff>
      <xdr:row>5</xdr:row>
      <xdr:rowOff>28575</xdr:rowOff>
    </xdr:to>
    <xdr:sp>
      <xdr:nvSpPr>
        <xdr:cNvPr id="1" name="TextBox 1"/>
        <xdr:cNvSpPr txBox="1">
          <a:spLocks noChangeArrowheads="1"/>
        </xdr:cNvSpPr>
      </xdr:nvSpPr>
      <xdr:spPr>
        <a:xfrm>
          <a:off x="7200900" y="28575"/>
          <a:ext cx="2943225" cy="9429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Arial"/>
              <a:ea typeface="Arial"/>
              <a:cs typeface="Arial"/>
            </a:rPr>
            <a:t>DRAFT</a:t>
          </a:r>
          <a:r>
            <a:rPr lang="en-US" cap="none" sz="900" b="1" i="0" u="none" baseline="0">
              <a:solidFill>
                <a:srgbClr val="FF0000"/>
              </a:solidFill>
              <a:latin typeface="Arial"/>
              <a:ea typeface="Arial"/>
              <a:cs typeface="Arial"/>
            </a:rPr>
            <a:t>
</a:t>
          </a:r>
          <a:r>
            <a:rPr lang="en-US" cap="none" sz="900" b="1" i="0" u="none" baseline="0">
              <a:solidFill>
                <a:srgbClr val="000000"/>
              </a:solidFill>
              <a:latin typeface="Arial"/>
              <a:ea typeface="Arial"/>
              <a:cs typeface="Arial"/>
            </a:rPr>
            <a:t>This model was developed by Myers and Stauffer for the Alaska Department of Health and Social Services.  It is still in draft form and may be changed prior to final distribution.
</a:t>
          </a:r>
          <a:r>
            <a:rPr lang="en-US" cap="none" sz="900" b="1"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400050</xdr:colOff>
      <xdr:row>1</xdr:row>
      <xdr:rowOff>85725</xdr:rowOff>
    </xdr:from>
    <xdr:to>
      <xdr:col>14</xdr:col>
      <xdr:colOff>76200</xdr:colOff>
      <xdr:row>1</xdr:row>
      <xdr:rowOff>85725</xdr:rowOff>
    </xdr:to>
    <xdr:sp>
      <xdr:nvSpPr>
        <xdr:cNvPr id="1" name="Straight Arrow Connector 2"/>
        <xdr:cNvSpPr>
          <a:spLocks/>
        </xdr:cNvSpPr>
      </xdr:nvSpPr>
      <xdr:spPr>
        <a:xfrm>
          <a:off x="12753975" y="257175"/>
          <a:ext cx="2476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161"/>
  <sheetViews>
    <sheetView tabSelected="1" zoomScalePageLayoutView="0" workbookViewId="0" topLeftCell="A1">
      <selection activeCell="D1" sqref="D1"/>
    </sheetView>
  </sheetViews>
  <sheetFormatPr defaultColWidth="9.140625" defaultRowHeight="15"/>
  <cols>
    <col min="1" max="1" width="37.7109375" style="171" customWidth="1"/>
    <col min="2" max="2" width="16.7109375" style="171" bestFit="1" customWidth="1"/>
    <col min="3" max="3" width="14.140625" style="171" customWidth="1"/>
    <col min="4" max="4" width="14.28125" style="171" customWidth="1"/>
    <col min="5" max="5" width="15.00390625" style="171" customWidth="1"/>
    <col min="6" max="6" width="14.7109375" style="171" customWidth="1"/>
    <col min="7" max="8" width="9.140625" style="171" customWidth="1"/>
    <col min="9" max="9" width="33.140625" style="171" customWidth="1"/>
    <col min="10" max="10" width="13.00390625" style="171" customWidth="1"/>
    <col min="11" max="11" width="12.421875" style="171" bestFit="1" customWidth="1"/>
    <col min="12" max="16384" width="9.140625" style="171" customWidth="1"/>
  </cols>
  <sheetData>
    <row r="1" spans="1:6" ht="20.25">
      <c r="A1" s="51" t="s">
        <v>336</v>
      </c>
      <c r="B1" s="168"/>
      <c r="C1" s="169"/>
      <c r="D1" s="168"/>
      <c r="E1" s="168"/>
      <c r="F1" s="170"/>
    </row>
    <row r="2" spans="1:6" ht="12.75">
      <c r="A2" s="172"/>
      <c r="B2" s="173"/>
      <c r="C2" s="78"/>
      <c r="D2" s="173"/>
      <c r="E2" s="173"/>
      <c r="F2" s="174"/>
    </row>
    <row r="3" spans="1:6" ht="12.75">
      <c r="A3" s="175"/>
      <c r="B3" s="78" t="s">
        <v>342</v>
      </c>
      <c r="C3" s="176">
        <v>42433</v>
      </c>
      <c r="D3" s="173"/>
      <c r="E3" s="173"/>
      <c r="F3" s="174"/>
    </row>
    <row r="4" spans="1:6" ht="12.75">
      <c r="A4" s="177"/>
      <c r="B4" s="78" t="s">
        <v>343</v>
      </c>
      <c r="C4" s="178">
        <v>2</v>
      </c>
      <c r="D4" s="173"/>
      <c r="E4" s="173"/>
      <c r="F4" s="174"/>
    </row>
    <row r="5" spans="1:6" ht="16.5" thickBot="1">
      <c r="A5" s="179" t="s">
        <v>335</v>
      </c>
      <c r="B5" s="180"/>
      <c r="C5" s="180"/>
      <c r="D5" s="180"/>
      <c r="E5" s="180"/>
      <c r="F5" s="181"/>
    </row>
    <row r="7" spans="1:6" ht="13.5" thickBot="1">
      <c r="A7" s="182" t="s">
        <v>337</v>
      </c>
      <c r="B7" s="180"/>
      <c r="C7" s="180"/>
      <c r="D7" s="180"/>
      <c r="E7" s="180"/>
      <c r="F7" s="180"/>
    </row>
    <row r="8" spans="1:6" ht="13.5" thickBot="1">
      <c r="A8" s="183" t="s">
        <v>239</v>
      </c>
      <c r="B8" s="184"/>
      <c r="C8" s="184"/>
      <c r="D8" s="184"/>
      <c r="E8" s="184"/>
      <c r="F8" s="185"/>
    </row>
    <row r="9" spans="1:6" ht="16.5" customHeight="1" thickBot="1">
      <c r="A9" s="186" t="s">
        <v>89</v>
      </c>
      <c r="B9" s="432" t="s">
        <v>241</v>
      </c>
      <c r="C9" s="433"/>
      <c r="D9" s="434"/>
      <c r="E9" s="184"/>
      <c r="F9" s="185"/>
    </row>
    <row r="10" spans="1:6" ht="16.5" customHeight="1" hidden="1" thickBot="1">
      <c r="A10" s="186" t="s">
        <v>90</v>
      </c>
      <c r="B10" s="435" t="s">
        <v>295</v>
      </c>
      <c r="C10" s="436"/>
      <c r="D10" s="437"/>
      <c r="E10" s="184"/>
      <c r="F10" s="185"/>
    </row>
    <row r="11" spans="1:6" ht="12.75">
      <c r="A11" s="187"/>
      <c r="B11" s="184"/>
      <c r="C11" s="184"/>
      <c r="D11" s="184"/>
      <c r="E11" s="184"/>
      <c r="F11" s="185"/>
    </row>
    <row r="12" spans="1:6" ht="12.75">
      <c r="A12" s="183" t="s">
        <v>231</v>
      </c>
      <c r="B12" s="112"/>
      <c r="C12" s="112"/>
      <c r="D12" s="112"/>
      <c r="E12" s="112"/>
      <c r="F12" s="188"/>
    </row>
    <row r="13" spans="1:6" ht="24.75" thickBot="1">
      <c r="A13" s="189"/>
      <c r="B13" s="190" t="s">
        <v>246</v>
      </c>
      <c r="C13" s="190" t="s">
        <v>247</v>
      </c>
      <c r="D13" s="190" t="s">
        <v>248</v>
      </c>
      <c r="E13" s="190" t="s">
        <v>380</v>
      </c>
      <c r="F13" s="188"/>
    </row>
    <row r="14" spans="1:6" ht="13.5" thickBot="1">
      <c r="A14" s="186" t="s">
        <v>89</v>
      </c>
      <c r="B14" s="44">
        <v>5800</v>
      </c>
      <c r="C14" s="44">
        <v>28</v>
      </c>
      <c r="D14" s="45">
        <v>0.007</v>
      </c>
      <c r="E14" s="44">
        <v>160</v>
      </c>
      <c r="F14" s="188"/>
    </row>
    <row r="15" spans="1:6" ht="13.5" hidden="1" thickBot="1">
      <c r="A15" s="186" t="s">
        <v>90</v>
      </c>
      <c r="B15" s="112"/>
      <c r="C15" s="191">
        <v>40</v>
      </c>
      <c r="D15" s="192">
        <v>0.01</v>
      </c>
      <c r="E15" s="112"/>
      <c r="F15" s="188"/>
    </row>
    <row r="16" spans="1:6" ht="12.75">
      <c r="A16" s="189"/>
      <c r="B16" s="112"/>
      <c r="C16" s="112"/>
      <c r="D16" s="112"/>
      <c r="E16" s="112"/>
      <c r="F16" s="188"/>
    </row>
    <row r="17" spans="1:6" ht="12.75">
      <c r="A17" s="183" t="s">
        <v>244</v>
      </c>
      <c r="B17" s="184"/>
      <c r="C17" s="184"/>
      <c r="D17" s="184"/>
      <c r="E17" s="184"/>
      <c r="F17" s="185"/>
    </row>
    <row r="18" spans="1:6" ht="12.75">
      <c r="A18" s="187"/>
      <c r="B18" s="184"/>
      <c r="C18" s="184"/>
      <c r="D18" s="184"/>
      <c r="E18" s="184"/>
      <c r="F18" s="185"/>
    </row>
    <row r="19" spans="1:6" ht="12.75">
      <c r="A19" s="193" t="s">
        <v>233</v>
      </c>
      <c r="B19" s="194" t="s">
        <v>245</v>
      </c>
      <c r="C19" s="184"/>
      <c r="D19" s="184"/>
      <c r="E19" s="184"/>
      <c r="F19" s="185"/>
    </row>
    <row r="20" spans="1:6" ht="12.75">
      <c r="A20" s="195" t="s">
        <v>232</v>
      </c>
      <c r="B20" s="46">
        <v>1</v>
      </c>
      <c r="C20" s="196" t="s">
        <v>249</v>
      </c>
      <c r="D20" s="184"/>
      <c r="E20" s="184"/>
      <c r="F20" s="185"/>
    </row>
    <row r="21" spans="1:6" ht="12.75">
      <c r="A21" s="195" t="s">
        <v>240</v>
      </c>
      <c r="B21" s="46">
        <v>0.75</v>
      </c>
      <c r="C21" s="196" t="s">
        <v>297</v>
      </c>
      <c r="D21" s="184"/>
      <c r="E21" s="184"/>
      <c r="F21" s="46">
        <v>0.2</v>
      </c>
    </row>
    <row r="22" spans="1:6" ht="12.75">
      <c r="A22" s="195" t="s">
        <v>298</v>
      </c>
      <c r="B22" s="46">
        <v>0.75</v>
      </c>
      <c r="C22" s="196" t="s">
        <v>300</v>
      </c>
      <c r="D22" s="184"/>
      <c r="E22" s="184"/>
      <c r="F22" s="47">
        <v>10</v>
      </c>
    </row>
    <row r="23" spans="1:6" ht="12.75">
      <c r="A23" s="195" t="s">
        <v>103</v>
      </c>
      <c r="B23" s="46">
        <v>0.75</v>
      </c>
      <c r="C23" s="196" t="s">
        <v>250</v>
      </c>
      <c r="D23" s="184"/>
      <c r="E23" s="184"/>
      <c r="F23" s="185"/>
    </row>
    <row r="24" spans="1:6" ht="12.75">
      <c r="A24" s="195" t="s">
        <v>277</v>
      </c>
      <c r="B24" s="46">
        <v>1</v>
      </c>
      <c r="C24" s="196" t="s">
        <v>277</v>
      </c>
      <c r="D24" s="184"/>
      <c r="E24" s="184"/>
      <c r="F24" s="185"/>
    </row>
    <row r="25" spans="1:6" ht="12.75">
      <c r="A25" s="187"/>
      <c r="B25" s="197"/>
      <c r="C25" s="184"/>
      <c r="D25" s="184"/>
      <c r="E25" s="184"/>
      <c r="F25" s="185"/>
    </row>
    <row r="26" spans="1:16" ht="12.75">
      <c r="A26" s="183" t="s">
        <v>230</v>
      </c>
      <c r="B26" s="184"/>
      <c r="C26" s="184"/>
      <c r="D26" s="184"/>
      <c r="E26" s="184"/>
      <c r="F26" s="185"/>
      <c r="M26" s="198"/>
      <c r="N26" s="198"/>
      <c r="O26" s="198"/>
      <c r="P26" s="198"/>
    </row>
    <row r="27" spans="1:16" ht="12.75">
      <c r="A27" s="187"/>
      <c r="B27" s="184"/>
      <c r="C27" s="190"/>
      <c r="D27" s="184"/>
      <c r="E27" s="184"/>
      <c r="F27" s="185"/>
      <c r="M27" s="198"/>
      <c r="N27" s="198"/>
      <c r="O27" s="198"/>
      <c r="P27" s="198"/>
    </row>
    <row r="28" spans="1:16" ht="12.75">
      <c r="A28" s="193" t="s">
        <v>3</v>
      </c>
      <c r="B28" s="190" t="s">
        <v>122</v>
      </c>
      <c r="C28" s="190"/>
      <c r="D28" s="184"/>
      <c r="E28" s="184"/>
      <c r="F28" s="185"/>
      <c r="M28" s="198"/>
      <c r="N28" s="198"/>
      <c r="O28" s="198"/>
      <c r="P28" s="198"/>
    </row>
    <row r="29" spans="1:16" ht="12.75">
      <c r="A29" s="195" t="s">
        <v>53</v>
      </c>
      <c r="B29" s="48" t="s">
        <v>120</v>
      </c>
      <c r="C29" s="199"/>
      <c r="D29" s="184"/>
      <c r="E29" s="184"/>
      <c r="F29" s="185"/>
      <c r="M29" s="198"/>
      <c r="N29" s="198"/>
      <c r="O29" s="198"/>
      <c r="P29" s="198"/>
    </row>
    <row r="30" spans="1:16" ht="12.75">
      <c r="A30" s="195" t="s">
        <v>55</v>
      </c>
      <c r="B30" s="48" t="s">
        <v>120</v>
      </c>
      <c r="C30" s="199"/>
      <c r="D30" s="184"/>
      <c r="E30" s="184"/>
      <c r="F30" s="185"/>
      <c r="M30" s="198"/>
      <c r="N30" s="198"/>
      <c r="O30" s="198"/>
      <c r="P30" s="198"/>
    </row>
    <row r="31" spans="1:16" ht="12.75">
      <c r="A31" s="195" t="s">
        <v>54</v>
      </c>
      <c r="B31" s="48" t="s">
        <v>120</v>
      </c>
      <c r="C31" s="199"/>
      <c r="D31" s="184"/>
      <c r="E31" s="184"/>
      <c r="F31" s="185"/>
      <c r="M31" s="198"/>
      <c r="N31" s="198"/>
      <c r="O31" s="198"/>
      <c r="P31" s="198"/>
    </row>
    <row r="32" spans="1:6" ht="12.75">
      <c r="A32" s="195" t="s">
        <v>119</v>
      </c>
      <c r="B32" s="48" t="s">
        <v>120</v>
      </c>
      <c r="C32" s="199"/>
      <c r="D32" s="184"/>
      <c r="E32" s="184"/>
      <c r="F32" s="185"/>
    </row>
    <row r="33" spans="1:6" ht="12.75">
      <c r="A33" s="195" t="s">
        <v>280</v>
      </c>
      <c r="B33" s="48" t="s">
        <v>121</v>
      </c>
      <c r="C33" s="199"/>
      <c r="D33" s="184"/>
      <c r="E33" s="184"/>
      <c r="F33" s="185"/>
    </row>
    <row r="34" spans="1:6" ht="12.75">
      <c r="A34" s="195" t="s">
        <v>425</v>
      </c>
      <c r="B34" s="48" t="s">
        <v>121</v>
      </c>
      <c r="C34" s="199"/>
      <c r="D34" s="184"/>
      <c r="E34" s="184"/>
      <c r="F34" s="185"/>
    </row>
    <row r="35" spans="1:6" ht="12.75">
      <c r="A35" s="195" t="s">
        <v>426</v>
      </c>
      <c r="B35" s="48" t="s">
        <v>121</v>
      </c>
      <c r="C35" s="199"/>
      <c r="D35" s="184"/>
      <c r="E35" s="184"/>
      <c r="F35" s="185"/>
    </row>
    <row r="36" spans="1:6" ht="12">
      <c r="A36" s="195" t="s">
        <v>277</v>
      </c>
      <c r="B36" s="48" t="s">
        <v>120</v>
      </c>
      <c r="C36" s="184"/>
      <c r="D36" s="184"/>
      <c r="E36" s="184"/>
      <c r="F36" s="185"/>
    </row>
    <row r="37" spans="1:6" ht="12.75" thickBot="1">
      <c r="A37" s="187"/>
      <c r="B37" s="184"/>
      <c r="C37" s="184"/>
      <c r="D37" s="184"/>
      <c r="E37" s="184"/>
      <c r="F37" s="185"/>
    </row>
    <row r="38" spans="1:6" ht="12.75" thickBot="1">
      <c r="A38" s="187" t="s">
        <v>330</v>
      </c>
      <c r="B38" s="200">
        <f>Model!P35</f>
        <v>5464620</v>
      </c>
      <c r="C38" s="112"/>
      <c r="D38" s="112"/>
      <c r="E38" s="112"/>
      <c r="F38" s="188"/>
    </row>
    <row r="39" spans="1:6" ht="12">
      <c r="A39" s="201"/>
      <c r="B39" s="202"/>
      <c r="C39" s="202"/>
      <c r="D39" s="202"/>
      <c r="E39" s="202"/>
      <c r="F39" s="203"/>
    </row>
    <row r="40" spans="1:6" ht="12">
      <c r="A40" s="184"/>
      <c r="B40" s="184"/>
      <c r="C40" s="184"/>
      <c r="D40" s="184"/>
      <c r="E40" s="184"/>
      <c r="F40" s="184"/>
    </row>
    <row r="41" spans="1:6" ht="13.5" thickBot="1">
      <c r="A41" s="182" t="s">
        <v>234</v>
      </c>
      <c r="B41" s="180"/>
      <c r="C41" s="180"/>
      <c r="D41" s="180"/>
      <c r="E41" s="180"/>
      <c r="F41" s="180"/>
    </row>
    <row r="42" spans="1:6" ht="12">
      <c r="A42" s="204" t="s">
        <v>174</v>
      </c>
      <c r="B42" s="205"/>
      <c r="C42" s="205"/>
      <c r="D42" s="205"/>
      <c r="E42" s="205"/>
      <c r="F42" s="206"/>
    </row>
    <row r="43" spans="1:6" ht="22.5">
      <c r="A43" s="207" t="s">
        <v>285</v>
      </c>
      <c r="B43" s="208" t="s">
        <v>235</v>
      </c>
      <c r="C43" s="208" t="s">
        <v>236</v>
      </c>
      <c r="D43" s="209" t="s">
        <v>237</v>
      </c>
      <c r="E43" s="210" t="s">
        <v>305</v>
      </c>
      <c r="F43" s="185"/>
    </row>
    <row r="44" spans="1:6" ht="12">
      <c r="A44" s="187" t="s">
        <v>192</v>
      </c>
      <c r="B44" s="211">
        <f>SUMIF(Data!I6:I30,"Included",Data!CA6:CA30)</f>
        <v>884808639.6129081</v>
      </c>
      <c r="C44" s="211">
        <f>B44*0.06</f>
        <v>53088518.37677448</v>
      </c>
      <c r="D44" s="211">
        <f>Model!N35</f>
        <v>5464620</v>
      </c>
      <c r="E44" s="212">
        <f>D44/B44</f>
        <v>0.006176047289039467</v>
      </c>
      <c r="F44" s="213"/>
    </row>
    <row r="45" spans="1:6" ht="12.75" hidden="1">
      <c r="A45" s="187" t="s">
        <v>193</v>
      </c>
      <c r="B45" s="211">
        <f>SUMIF(Data!I6:I30,"Included",Data!CB6:CB30)</f>
        <v>0</v>
      </c>
      <c r="C45" s="211">
        <f>B45*0.06</f>
        <v>0</v>
      </c>
      <c r="D45" s="211">
        <f>Model!O35</f>
        <v>0</v>
      </c>
      <c r="E45" s="212" t="e">
        <f>D45/B45</f>
        <v>#DIV/0!</v>
      </c>
      <c r="F45" s="213"/>
    </row>
    <row r="46" spans="1:6" ht="12.75" hidden="1">
      <c r="A46" s="187" t="s">
        <v>194</v>
      </c>
      <c r="B46" s="211">
        <f>SUM(B44:B45)</f>
        <v>884808639.6129081</v>
      </c>
      <c r="C46" s="211">
        <f>B46*0.06</f>
        <v>53088518.37677448</v>
      </c>
      <c r="D46" s="211">
        <f>SUM(D44:D45)</f>
        <v>5464620</v>
      </c>
      <c r="E46" s="212">
        <f>D46/B46</f>
        <v>0.006176047289039467</v>
      </c>
      <c r="F46" s="213"/>
    </row>
    <row r="47" spans="1:6" ht="12">
      <c r="A47" s="214"/>
      <c r="B47" s="210"/>
      <c r="C47" s="210"/>
      <c r="D47" s="210"/>
      <c r="E47" s="210"/>
      <c r="F47" s="215"/>
    </row>
    <row r="48" spans="1:6" ht="12">
      <c r="A48" s="216" t="s">
        <v>301</v>
      </c>
      <c r="B48" s="217"/>
      <c r="C48" s="217"/>
      <c r="D48" s="217"/>
      <c r="E48" s="217"/>
      <c r="F48" s="218"/>
    </row>
    <row r="49" spans="1:6" ht="12">
      <c r="A49" s="187"/>
      <c r="B49" s="194" t="s">
        <v>251</v>
      </c>
      <c r="C49" s="219"/>
      <c r="D49" s="220"/>
      <c r="E49" s="220"/>
      <c r="F49" s="221"/>
    </row>
    <row r="50" spans="1:6" ht="12">
      <c r="A50" s="195"/>
      <c r="B50" s="208" t="s">
        <v>89</v>
      </c>
      <c r="C50" s="194"/>
      <c r="D50" s="220"/>
      <c r="E50" s="220"/>
      <c r="F50" s="221"/>
    </row>
    <row r="51" spans="1:6" ht="12">
      <c r="A51" s="222" t="s">
        <v>252</v>
      </c>
      <c r="B51" s="223">
        <f>'Compliance-Inpatient'!J29</f>
        <v>1.1161150671813583E-05</v>
      </c>
      <c r="C51" s="223"/>
      <c r="D51" s="220"/>
      <c r="E51" s="220"/>
      <c r="F51" s="221"/>
    </row>
    <row r="52" spans="1:6" ht="12">
      <c r="A52" s="222" t="s">
        <v>253</v>
      </c>
      <c r="B52" s="223">
        <f>'Compliance-Inpatient'!K29</f>
        <v>1.0919332984341935E-05</v>
      </c>
      <c r="C52" s="223"/>
      <c r="D52" s="220"/>
      <c r="E52" s="220"/>
      <c r="F52" s="221"/>
    </row>
    <row r="53" spans="1:6" ht="12">
      <c r="A53" s="222" t="s">
        <v>251</v>
      </c>
      <c r="B53" s="223">
        <f>_xlfn.IFERROR(B51/B52,0)</f>
        <v>1.022145829586698</v>
      </c>
      <c r="C53" s="223"/>
      <c r="D53" s="220"/>
      <c r="E53" s="220"/>
      <c r="F53" s="221"/>
    </row>
    <row r="54" spans="1:6" ht="12">
      <c r="A54" s="187"/>
      <c r="B54" s="224">
        <f>IF(B53=0,"",IF(B53&lt;0.95,"ERROR, &lt;.95",IF(B53&lt;1,"CAUTION, &lt;1.0","")))</f>
      </c>
      <c r="C54" s="224">
        <f>IF(C53=0,"",IF(C53&lt;0.95,"ERROR, &lt;.95",IF(C53&lt;1,"CAUTION, &lt;1.0","")))</f>
      </c>
      <c r="D54" s="220"/>
      <c r="E54" s="220"/>
      <c r="F54" s="221"/>
    </row>
    <row r="55" spans="1:6" ht="12">
      <c r="A55" s="225" t="s">
        <v>302</v>
      </c>
      <c r="B55" s="210"/>
      <c r="C55" s="210"/>
      <c r="D55" s="210"/>
      <c r="E55" s="210"/>
      <c r="F55" s="215"/>
    </row>
    <row r="57" spans="1:6" ht="13.5" thickBot="1">
      <c r="A57" s="182" t="s">
        <v>238</v>
      </c>
      <c r="B57" s="180"/>
      <c r="C57" s="180"/>
      <c r="D57" s="180"/>
      <c r="E57" s="180"/>
      <c r="F57" s="180"/>
    </row>
    <row r="58" spans="1:6" ht="12">
      <c r="A58" s="226"/>
      <c r="B58" s="205"/>
      <c r="C58" s="205"/>
      <c r="D58" s="205"/>
      <c r="E58" s="205"/>
      <c r="F58" s="206"/>
    </row>
    <row r="59" spans="1:6" ht="12.75" thickBot="1">
      <c r="A59" s="189"/>
      <c r="B59" s="220"/>
      <c r="C59" s="227" t="s">
        <v>303</v>
      </c>
      <c r="D59" s="227" t="s">
        <v>304</v>
      </c>
      <c r="E59" s="184"/>
      <c r="F59" s="185"/>
    </row>
    <row r="60" spans="1:6" ht="12.75" customHeight="1" thickBot="1">
      <c r="A60" s="187" t="s">
        <v>306</v>
      </c>
      <c r="B60" s="220"/>
      <c r="C60" s="228">
        <f>Model!P35</f>
        <v>5464620</v>
      </c>
      <c r="D60" s="229">
        <f>C60/0.5</f>
        <v>10929240</v>
      </c>
      <c r="E60" s="230" t="s">
        <v>355</v>
      </c>
      <c r="F60" s="185"/>
    </row>
    <row r="61" spans="1:6" ht="12.75" thickBot="1">
      <c r="A61" s="187"/>
      <c r="B61" s="220"/>
      <c r="C61" s="184"/>
      <c r="D61" s="184"/>
      <c r="E61" s="231"/>
      <c r="F61" s="185"/>
    </row>
    <row r="62" spans="1:6" ht="12.75" thickBot="1">
      <c r="A62" s="187" t="s">
        <v>345</v>
      </c>
      <c r="B62" s="220"/>
      <c r="C62" s="228">
        <f>D62*0.5</f>
        <v>4865675</v>
      </c>
      <c r="D62" s="229">
        <f>D86</f>
        <v>9731350</v>
      </c>
      <c r="E62" s="231"/>
      <c r="F62" s="185"/>
    </row>
    <row r="63" spans="1:6" ht="12.75" hidden="1">
      <c r="A63" s="187" t="s">
        <v>346</v>
      </c>
      <c r="B63" s="220"/>
      <c r="C63" s="232">
        <f>D63*0.5</f>
        <v>0</v>
      </c>
      <c r="D63" s="233">
        <f>D87</f>
        <v>0</v>
      </c>
      <c r="E63" s="231"/>
      <c r="F63" s="185"/>
    </row>
    <row r="64" spans="1:6" ht="13.5" hidden="1" thickBot="1">
      <c r="A64" s="187" t="s">
        <v>307</v>
      </c>
      <c r="B64" s="220"/>
      <c r="C64" s="234">
        <f>SUM(C62:C63)</f>
        <v>4865675</v>
      </c>
      <c r="D64" s="235">
        <f>SUM(D62:D63)</f>
        <v>9731350</v>
      </c>
      <c r="E64" s="184"/>
      <c r="F64" s="185"/>
    </row>
    <row r="65" spans="1:6" ht="12.75" thickBot="1">
      <c r="A65" s="183"/>
      <c r="B65" s="184"/>
      <c r="C65" s="184"/>
      <c r="D65" s="184"/>
      <c r="E65" s="184"/>
      <c r="F65" s="185"/>
    </row>
    <row r="66" spans="1:6" ht="12">
      <c r="A66" s="187" t="s">
        <v>344</v>
      </c>
      <c r="B66" s="236"/>
      <c r="C66" s="205"/>
      <c r="D66" s="237"/>
      <c r="E66" s="184"/>
      <c r="F66" s="185"/>
    </row>
    <row r="67" spans="1:6" ht="12">
      <c r="A67" s="238" t="s">
        <v>315</v>
      </c>
      <c r="B67" s="49">
        <v>0.88</v>
      </c>
      <c r="C67" s="211">
        <f>D67*0.5</f>
        <v>2693825</v>
      </c>
      <c r="D67" s="239">
        <f>ROUND(D60*B67*(C86/D86),0)</f>
        <v>5387650</v>
      </c>
      <c r="E67" s="230" t="s">
        <v>308</v>
      </c>
      <c r="F67" s="185"/>
    </row>
    <row r="68" spans="1:6" ht="12">
      <c r="A68" s="238" t="s">
        <v>316</v>
      </c>
      <c r="B68" s="50">
        <v>0.88</v>
      </c>
      <c r="C68" s="241">
        <f>D68*0.5</f>
        <v>2115040.5</v>
      </c>
      <c r="D68" s="233">
        <f>ROUND(D60*B68*(B86/D86),0)</f>
        <v>4230081</v>
      </c>
      <c r="E68" s="230" t="s">
        <v>308</v>
      </c>
      <c r="F68" s="185"/>
    </row>
    <row r="69" spans="1:6" ht="12.75" customHeight="1" hidden="1">
      <c r="A69" s="238" t="s">
        <v>317</v>
      </c>
      <c r="B69" s="242">
        <v>0</v>
      </c>
      <c r="C69" s="211">
        <f>D69*0.5</f>
        <v>0</v>
      </c>
      <c r="D69" s="239">
        <f>ROUND(C87*B69,0)</f>
        <v>0</v>
      </c>
      <c r="E69" s="230" t="s">
        <v>308</v>
      </c>
      <c r="F69" s="185"/>
    </row>
    <row r="70" spans="1:6" ht="12.75" customHeight="1" hidden="1">
      <c r="A70" s="238" t="s">
        <v>318</v>
      </c>
      <c r="B70" s="240">
        <v>0</v>
      </c>
      <c r="C70" s="241">
        <f>D70*0.5</f>
        <v>0</v>
      </c>
      <c r="D70" s="233">
        <f>ROUND(B87*B70,0)</f>
        <v>0</v>
      </c>
      <c r="E70" s="230" t="s">
        <v>308</v>
      </c>
      <c r="F70" s="185"/>
    </row>
    <row r="71" spans="1:6" ht="12.75" thickBot="1">
      <c r="A71" s="243" t="s">
        <v>112</v>
      </c>
      <c r="B71" s="244"/>
      <c r="C71" s="245">
        <f>SUM(C67:C70)</f>
        <v>4808865.5</v>
      </c>
      <c r="D71" s="235">
        <f>SUM(D67:D70)</f>
        <v>9617731</v>
      </c>
      <c r="E71" s="184"/>
      <c r="F71" s="185"/>
    </row>
    <row r="72" spans="1:6" ht="12">
      <c r="A72" s="183"/>
      <c r="B72" s="184"/>
      <c r="C72" s="184"/>
      <c r="D72" s="184"/>
      <c r="E72" s="184"/>
      <c r="F72" s="185"/>
    </row>
    <row r="73" spans="1:6" ht="12">
      <c r="A73" s="187" t="s">
        <v>311</v>
      </c>
      <c r="B73" s="184"/>
      <c r="C73" s="184"/>
      <c r="D73" s="184"/>
      <c r="E73" s="184"/>
      <c r="F73" s="185"/>
    </row>
    <row r="74" spans="1:6" ht="12.75" thickBot="1">
      <c r="A74" s="246"/>
      <c r="B74" s="247"/>
      <c r="C74" s="247"/>
      <c r="D74" s="247"/>
      <c r="E74" s="112"/>
      <c r="F74" s="185"/>
    </row>
    <row r="75" spans="1:10" ht="12.75" thickBot="1">
      <c r="A75" s="248" t="s">
        <v>312</v>
      </c>
      <c r="B75" s="34">
        <v>1</v>
      </c>
      <c r="C75" s="249">
        <f>D75*0.5</f>
        <v>4808865.5</v>
      </c>
      <c r="D75" s="250">
        <f>ROUND($D$71*B75,0)</f>
        <v>9617731</v>
      </c>
      <c r="E75" s="112"/>
      <c r="F75" s="185"/>
      <c r="I75" s="251"/>
      <c r="J75" s="252"/>
    </row>
    <row r="76" spans="1:10" ht="12.75" thickBot="1">
      <c r="A76" s="248" t="s">
        <v>314</v>
      </c>
      <c r="B76" s="35"/>
      <c r="C76" s="249">
        <f>D76*0.5</f>
        <v>0</v>
      </c>
      <c r="D76" s="253">
        <f>ROUND($D$71*B76,0)</f>
        <v>0</v>
      </c>
      <c r="E76" s="112"/>
      <c r="F76" s="185"/>
      <c r="I76" s="251"/>
      <c r="J76" s="254"/>
    </row>
    <row r="77" spans="1:10" ht="12.75" thickBot="1">
      <c r="A77" s="248" t="s">
        <v>313</v>
      </c>
      <c r="B77" s="36"/>
      <c r="C77" s="249">
        <f>D77*0.5</f>
        <v>0</v>
      </c>
      <c r="D77" s="255">
        <f>ROUND($D$71*B77,0)</f>
        <v>0</v>
      </c>
      <c r="E77" s="112"/>
      <c r="F77" s="185"/>
      <c r="I77" s="251"/>
      <c r="J77" s="254"/>
    </row>
    <row r="78" spans="1:10" ht="12">
      <c r="A78" s="183"/>
      <c r="B78" s="184"/>
      <c r="C78" s="184"/>
      <c r="D78" s="184"/>
      <c r="E78" s="184"/>
      <c r="F78" s="185"/>
      <c r="I78" s="251"/>
      <c r="J78" s="254"/>
    </row>
    <row r="79" spans="1:10" ht="12.75" thickBot="1">
      <c r="A79" s="183"/>
      <c r="B79" s="184"/>
      <c r="C79" s="184"/>
      <c r="D79" s="184"/>
      <c r="E79" s="184"/>
      <c r="F79" s="185"/>
      <c r="J79" s="220"/>
    </row>
    <row r="80" spans="1:10" ht="12.75" thickBot="1">
      <c r="A80" s="187" t="s">
        <v>309</v>
      </c>
      <c r="B80" s="184"/>
      <c r="C80" s="184"/>
      <c r="D80" s="200">
        <f>D71-C60</f>
        <v>4153111</v>
      </c>
      <c r="E80" s="184"/>
      <c r="F80" s="185"/>
      <c r="I80" s="251"/>
      <c r="J80" s="254"/>
    </row>
    <row r="81" spans="1:10" ht="12.75" thickBot="1">
      <c r="A81" s="183"/>
      <c r="B81" s="184"/>
      <c r="C81" s="184"/>
      <c r="D81" s="184"/>
      <c r="E81" s="184"/>
      <c r="F81" s="185"/>
      <c r="I81" s="251"/>
      <c r="J81" s="254"/>
    </row>
    <row r="82" spans="1:10" ht="27" customHeight="1" thickBot="1">
      <c r="A82" s="438" t="s">
        <v>331</v>
      </c>
      <c r="B82" s="439"/>
      <c r="C82" s="256">
        <f>D82*0.5</f>
        <v>655754.5</v>
      </c>
      <c r="D82" s="257">
        <f>D60-D71</f>
        <v>1311509</v>
      </c>
      <c r="E82" s="184"/>
      <c r="F82" s="185"/>
      <c r="I82" s="251"/>
      <c r="J82" s="258"/>
    </row>
    <row r="83" spans="1:10" ht="12">
      <c r="A83" s="183"/>
      <c r="B83" s="184"/>
      <c r="C83" s="184"/>
      <c r="D83" s="184"/>
      <c r="E83" s="184"/>
      <c r="F83" s="185"/>
      <c r="I83" s="251"/>
      <c r="J83" s="254"/>
    </row>
    <row r="84" spans="1:10" ht="12">
      <c r="A84" s="183"/>
      <c r="B84" s="220"/>
      <c r="C84" s="184"/>
      <c r="D84" s="184"/>
      <c r="E84" s="184"/>
      <c r="F84" s="185"/>
      <c r="J84" s="220"/>
    </row>
    <row r="85" spans="1:10" ht="12">
      <c r="A85" s="259" t="s">
        <v>291</v>
      </c>
      <c r="B85" s="194" t="s">
        <v>117</v>
      </c>
      <c r="C85" s="194" t="s">
        <v>116</v>
      </c>
      <c r="D85" s="231" t="s">
        <v>319</v>
      </c>
      <c r="E85" s="184"/>
      <c r="F85" s="185"/>
      <c r="J85" s="220"/>
    </row>
    <row r="86" spans="1:6" ht="12">
      <c r="A86" s="186" t="s">
        <v>89</v>
      </c>
      <c r="B86" s="211">
        <f>UPL!F21</f>
        <v>4280053</v>
      </c>
      <c r="C86" s="211">
        <f>UPL!F30</f>
        <v>5451297</v>
      </c>
      <c r="D86" s="211">
        <f>SUM(B86:C86)</f>
        <v>9731350</v>
      </c>
      <c r="E86" s="184"/>
      <c r="F86" s="185"/>
    </row>
    <row r="87" spans="1:6" ht="12.75" hidden="1">
      <c r="A87" s="186" t="s">
        <v>90</v>
      </c>
      <c r="B87" s="211">
        <v>0</v>
      </c>
      <c r="C87" s="211">
        <v>0</v>
      </c>
      <c r="D87" s="211">
        <f>SUM(B87:C87)</f>
        <v>0</v>
      </c>
      <c r="E87" s="184"/>
      <c r="F87" s="185"/>
    </row>
    <row r="88" spans="1:6" ht="12">
      <c r="A88" s="214"/>
      <c r="B88" s="210"/>
      <c r="C88" s="210"/>
      <c r="D88" s="210"/>
      <c r="E88" s="210"/>
      <c r="F88" s="215"/>
    </row>
    <row r="90" spans="1:6" ht="13.5" thickBot="1">
      <c r="A90" s="182" t="s">
        <v>310</v>
      </c>
      <c r="B90" s="180"/>
      <c r="C90" s="180"/>
      <c r="D90" s="180"/>
      <c r="E90" s="180"/>
      <c r="F90" s="180"/>
    </row>
    <row r="91" spans="1:6" ht="12.75" thickBot="1">
      <c r="A91" s="187"/>
      <c r="B91" s="184"/>
      <c r="C91" s="184"/>
      <c r="D91" s="184"/>
      <c r="E91" s="184"/>
      <c r="F91" s="185"/>
    </row>
    <row r="92" spans="1:6" ht="12.75" thickBot="1">
      <c r="A92" s="187" t="s">
        <v>263</v>
      </c>
      <c r="B92" s="200">
        <f>_xlfn.AVERAGEIF(Model!$T$10:$T$34,"&lt;&gt;0",Model!$T$10:$T$34)</f>
        <v>244300.64705882358</v>
      </c>
      <c r="C92" s="184"/>
      <c r="D92" s="184"/>
      <c r="E92" s="184"/>
      <c r="F92" s="185"/>
    </row>
    <row r="93" spans="1:6" ht="12.75" thickBot="1">
      <c r="A93" s="187"/>
      <c r="B93" s="211"/>
      <c r="C93" s="184"/>
      <c r="D93" s="194" t="s">
        <v>267</v>
      </c>
      <c r="E93" s="194" t="s">
        <v>268</v>
      </c>
      <c r="F93" s="185"/>
    </row>
    <row r="94" spans="1:6" ht="12.75" thickBot="1">
      <c r="A94" s="187" t="s">
        <v>264</v>
      </c>
      <c r="B94" s="260">
        <f>COUNTIF(Model!$T$10:$T$34,"&gt;0")</f>
        <v>13</v>
      </c>
      <c r="C94" s="184"/>
      <c r="D94" s="200">
        <f>_xlfn.IFERROR(SUMIF(Model!$T$10:$T$34,"&gt;0",Model!$T$10:$T$34)/B94,0)</f>
        <v>396844.8242967465</v>
      </c>
      <c r="E94" s="200">
        <f>_xlfn.IFERROR(MAX(Model!$T$10:$T$34),0)</f>
        <v>1445997.0598373355</v>
      </c>
      <c r="F94" s="185"/>
    </row>
    <row r="95" spans="1:6" ht="12.75" thickBot="1">
      <c r="A95" s="187"/>
      <c r="B95" s="211"/>
      <c r="C95" s="184"/>
      <c r="D95" s="194" t="s">
        <v>269</v>
      </c>
      <c r="E95" s="194" t="s">
        <v>270</v>
      </c>
      <c r="F95" s="185"/>
    </row>
    <row r="96" spans="1:6" ht="12.75" thickBot="1">
      <c r="A96" s="187" t="s">
        <v>265</v>
      </c>
      <c r="B96" s="261">
        <f>COUNTIF(Model!$T$10:$T$34,"&lt;0")</f>
        <v>4</v>
      </c>
      <c r="C96" s="184"/>
      <c r="D96" s="200">
        <f>_xlfn.IFERROR(SUMIF(Model!$T$10:$T$34,"&lt;0",Model!$T$10:$T$34)/B96,0)</f>
        <v>-251467.9289644263</v>
      </c>
      <c r="E96" s="200">
        <f>_xlfn.IFERROR(MIN(Model!$T$10:$T$34),0)</f>
        <v>-420719.91802066675</v>
      </c>
      <c r="F96" s="185"/>
    </row>
    <row r="97" spans="1:6" ht="12.75" thickBot="1">
      <c r="A97" s="187"/>
      <c r="B97" s="211"/>
      <c r="C97" s="184"/>
      <c r="D97" s="184"/>
      <c r="E97" s="184"/>
      <c r="F97" s="185"/>
    </row>
    <row r="98" spans="1:6" ht="12.75" thickBot="1">
      <c r="A98" s="187" t="s">
        <v>266</v>
      </c>
      <c r="B98" s="261">
        <f>COUNTIF(Model!$T$10:$T$34,"=0")</f>
        <v>8</v>
      </c>
      <c r="C98" s="184"/>
      <c r="D98" s="184"/>
      <c r="E98" s="184"/>
      <c r="F98" s="185"/>
    </row>
    <row r="99" spans="1:6" ht="12">
      <c r="A99" s="214"/>
      <c r="B99" s="210"/>
      <c r="C99" s="210"/>
      <c r="D99" s="210"/>
      <c r="E99" s="210"/>
      <c r="F99" s="215"/>
    </row>
    <row r="113" ht="12">
      <c r="A113" s="262" t="s">
        <v>227</v>
      </c>
    </row>
    <row r="114" ht="12">
      <c r="A114" s="263" t="s">
        <v>228</v>
      </c>
    </row>
    <row r="115" ht="12">
      <c r="A115" s="264">
        <v>1</v>
      </c>
    </row>
    <row r="116" ht="12">
      <c r="A116" s="264">
        <v>0.9</v>
      </c>
    </row>
    <row r="117" spans="1:3" ht="12">
      <c r="A117" s="264">
        <v>0.8</v>
      </c>
      <c r="C117" s="265"/>
    </row>
    <row r="118" spans="1:3" ht="12">
      <c r="A118" s="264">
        <v>0.75</v>
      </c>
      <c r="C118" s="265"/>
    </row>
    <row r="119" spans="1:6" ht="12">
      <c r="A119" s="264">
        <v>0.7</v>
      </c>
      <c r="C119" s="265"/>
      <c r="F119" s="265"/>
    </row>
    <row r="120" spans="1:6" ht="12">
      <c r="A120" s="264">
        <v>0.65</v>
      </c>
      <c r="C120" s="265"/>
      <c r="F120" s="265"/>
    </row>
    <row r="121" spans="1:6" ht="12">
      <c r="A121" s="264">
        <v>0.6</v>
      </c>
      <c r="B121" s="265"/>
      <c r="C121" s="265"/>
      <c r="D121" s="265"/>
      <c r="E121" s="265"/>
      <c r="F121" s="198"/>
    </row>
    <row r="122" spans="1:6" ht="12">
      <c r="A122" s="264">
        <v>0.5</v>
      </c>
      <c r="B122" s="265"/>
      <c r="C122" s="265"/>
      <c r="D122" s="265"/>
      <c r="E122" s="265"/>
      <c r="F122" s="198"/>
    </row>
    <row r="123" spans="1:6" ht="12">
      <c r="A123" s="264">
        <v>0.4</v>
      </c>
      <c r="B123" s="265"/>
      <c r="C123" s="265"/>
      <c r="D123" s="265"/>
      <c r="E123" s="265"/>
      <c r="F123" s="198"/>
    </row>
    <row r="124" spans="1:6" ht="12">
      <c r="A124" s="264">
        <v>0.25</v>
      </c>
      <c r="B124" s="265"/>
      <c r="C124" s="265"/>
      <c r="D124" s="265"/>
      <c r="E124" s="265"/>
      <c r="F124" s="198"/>
    </row>
    <row r="125" spans="1:6" ht="12">
      <c r="A125" s="264">
        <v>0.1</v>
      </c>
      <c r="B125" s="265"/>
      <c r="C125" s="265"/>
      <c r="D125" s="265"/>
      <c r="E125" s="265"/>
      <c r="F125" s="198"/>
    </row>
    <row r="126" spans="1:6" ht="12">
      <c r="A126" s="264">
        <v>0.05</v>
      </c>
      <c r="B126" s="265"/>
      <c r="C126" s="265"/>
      <c r="D126" s="265"/>
      <c r="E126" s="265"/>
      <c r="F126" s="198"/>
    </row>
    <row r="127" spans="1:6" ht="12">
      <c r="A127" s="264">
        <v>0</v>
      </c>
      <c r="B127" s="265"/>
      <c r="C127" s="265"/>
      <c r="D127" s="265"/>
      <c r="E127" s="265"/>
      <c r="F127" s="198"/>
    </row>
    <row r="128" ht="12">
      <c r="A128" s="266"/>
    </row>
    <row r="129" ht="12">
      <c r="A129" s="263" t="s">
        <v>229</v>
      </c>
    </row>
    <row r="130" ht="12">
      <c r="A130" s="263" t="s">
        <v>240</v>
      </c>
    </row>
    <row r="131" ht="12">
      <c r="A131" s="263" t="s">
        <v>103</v>
      </c>
    </row>
    <row r="132" ht="12">
      <c r="A132" s="263" t="s">
        <v>102</v>
      </c>
    </row>
    <row r="133" ht="12">
      <c r="A133" s="263" t="s">
        <v>277</v>
      </c>
    </row>
    <row r="134" ht="12">
      <c r="A134" s="263"/>
    </row>
    <row r="135" ht="12">
      <c r="A135" s="263" t="s">
        <v>122</v>
      </c>
    </row>
    <row r="136" ht="12">
      <c r="A136" s="263" t="s">
        <v>120</v>
      </c>
    </row>
    <row r="137" ht="12">
      <c r="A137" s="263" t="s">
        <v>121</v>
      </c>
    </row>
    <row r="138" ht="12">
      <c r="A138" s="263"/>
    </row>
    <row r="139" ht="12">
      <c r="A139" s="263" t="s">
        <v>89</v>
      </c>
    </row>
    <row r="140" ht="12">
      <c r="A140" s="263" t="s">
        <v>359</v>
      </c>
    </row>
    <row r="141" ht="12">
      <c r="A141" s="263" t="s">
        <v>241</v>
      </c>
    </row>
    <row r="142" ht="12">
      <c r="A142" s="263" t="s">
        <v>242</v>
      </c>
    </row>
    <row r="143" ht="12">
      <c r="A143" s="263" t="s">
        <v>374</v>
      </c>
    </row>
    <row r="144" ht="12">
      <c r="A144" s="263" t="s">
        <v>373</v>
      </c>
    </row>
    <row r="145" ht="12">
      <c r="A145" s="263" t="s">
        <v>375</v>
      </c>
    </row>
    <row r="146" ht="12">
      <c r="A146" s="263" t="s">
        <v>376</v>
      </c>
    </row>
    <row r="147" ht="12">
      <c r="A147" s="263"/>
    </row>
    <row r="148" ht="12">
      <c r="A148" s="263" t="s">
        <v>90</v>
      </c>
    </row>
    <row r="149" ht="12">
      <c r="A149" s="263" t="s">
        <v>243</v>
      </c>
    </row>
    <row r="150" ht="12">
      <c r="A150" s="263" t="s">
        <v>294</v>
      </c>
    </row>
    <row r="151" ht="12">
      <c r="A151" s="263" t="s">
        <v>295</v>
      </c>
    </row>
    <row r="152" ht="12">
      <c r="A152" s="263"/>
    </row>
    <row r="153" ht="12">
      <c r="A153" s="263" t="s">
        <v>3</v>
      </c>
    </row>
    <row r="154" ht="12">
      <c r="A154" s="263" t="s">
        <v>53</v>
      </c>
    </row>
    <row r="155" ht="12">
      <c r="A155" s="263" t="s">
        <v>55</v>
      </c>
    </row>
    <row r="156" ht="12">
      <c r="A156" s="263" t="s">
        <v>54</v>
      </c>
    </row>
    <row r="157" ht="12">
      <c r="A157" s="263" t="s">
        <v>119</v>
      </c>
    </row>
    <row r="158" ht="12">
      <c r="A158" s="263" t="s">
        <v>280</v>
      </c>
    </row>
    <row r="159" ht="12">
      <c r="A159" s="263" t="s">
        <v>425</v>
      </c>
    </row>
    <row r="160" ht="12">
      <c r="A160" s="263" t="s">
        <v>426</v>
      </c>
    </row>
    <row r="161" ht="12">
      <c r="A161" s="263" t="s">
        <v>277</v>
      </c>
    </row>
  </sheetData>
  <sheetProtection password="EE05" sheet="1" objects="1" scenarios="1"/>
  <protectedRanges>
    <protectedRange sqref="B9 B14:E14 B20:B24 F21:F22 B29:B36 B67:B68 B75:B77" name="Range1"/>
  </protectedRanges>
  <mergeCells count="3">
    <mergeCell ref="B9:D9"/>
    <mergeCell ref="B10:D10"/>
    <mergeCell ref="A82:B82"/>
  </mergeCells>
  <conditionalFormatting sqref="E44:E46">
    <cfRule type="cellIs" priority="10" dxfId="7" operator="greaterThan">
      <formula>0.06</formula>
    </cfRule>
  </conditionalFormatting>
  <conditionalFormatting sqref="B53">
    <cfRule type="cellIs" priority="4" dxfId="8" operator="between">
      <formula>0</formula>
      <formula>0.95</formula>
    </cfRule>
    <cfRule type="cellIs" priority="6" dxfId="8" operator="lessThan">
      <formula>0.95</formula>
    </cfRule>
  </conditionalFormatting>
  <conditionalFormatting sqref="C53">
    <cfRule type="cellIs" priority="3" dxfId="8" operator="between">
      <formula>0.0001</formula>
      <formula>0.95</formula>
    </cfRule>
    <cfRule type="cellIs" priority="5" dxfId="8" operator="between">
      <formula>0.95</formula>
      <formula>0.9999</formula>
    </cfRule>
  </conditionalFormatting>
  <conditionalFormatting sqref="D67">
    <cfRule type="cellIs" priority="2" dxfId="7" operator="greaterThan">
      <formula>$C$86</formula>
    </cfRule>
  </conditionalFormatting>
  <conditionalFormatting sqref="D68">
    <cfRule type="cellIs" priority="1" dxfId="7" operator="greaterThan">
      <formula>$B$86</formula>
    </cfRule>
  </conditionalFormatting>
  <dataValidations count="5">
    <dataValidation type="list" allowBlank="1" showInputMessage="1" showErrorMessage="1" sqref="B10">
      <formula1>$A$149:$A$151</formula1>
    </dataValidation>
    <dataValidation type="list" allowBlank="1" showInputMessage="1" showErrorMessage="1" sqref="B20:B24">
      <formula1>$A$115:$A$127</formula1>
    </dataValidation>
    <dataValidation type="decimal" operator="lessThanOrEqual" allowBlank="1" showInputMessage="1" showErrorMessage="1" sqref="B75">
      <formula1>1</formula1>
    </dataValidation>
    <dataValidation type="list" allowBlank="1" showInputMessage="1" showErrorMessage="1" sqref="B9:D9">
      <formula1>$A$140:$A$146</formula1>
    </dataValidation>
    <dataValidation type="list" allowBlank="1" showInputMessage="1" showErrorMessage="1" sqref="B29:B36">
      <formula1>$A$136:$A$137</formula1>
    </dataValidation>
  </dataValidations>
  <printOptions/>
  <pageMargins left="0.7" right="0.7" top="0.75" bottom="0.75" header="0.3" footer="0.3"/>
  <pageSetup fitToHeight="0" fitToWidth="1" horizontalDpi="600" verticalDpi="600" orientation="portrait" scale="80" r:id="rId1"/>
  <headerFooter>
    <oddFooter>&amp;R&amp;F
&amp;A</oddFooter>
  </headerFooter>
  <rowBreaks count="2" manualBreakCount="2">
    <brk id="55" max="5" man="1"/>
    <brk id="146" max="5" man="1"/>
  </rowBreaks>
</worksheet>
</file>

<file path=xl/worksheets/sheet2.xml><?xml version="1.0" encoding="utf-8"?>
<worksheet xmlns="http://schemas.openxmlformats.org/spreadsheetml/2006/main" xmlns:r="http://schemas.openxmlformats.org/officeDocument/2006/relationships">
  <sheetPr>
    <pageSetUpPr fitToPage="1"/>
  </sheetPr>
  <dimension ref="A1:T67"/>
  <sheetViews>
    <sheetView zoomScalePageLayoutView="0" workbookViewId="0" topLeftCell="A1">
      <selection activeCell="A2" sqref="A2"/>
    </sheetView>
  </sheetViews>
  <sheetFormatPr defaultColWidth="9.140625" defaultRowHeight="15"/>
  <cols>
    <col min="1" max="1" width="9.57421875" style="60" customWidth="1"/>
    <col min="2" max="2" width="9.28125" style="60" bestFit="1" customWidth="1"/>
    <col min="3" max="3" width="31.57421875" style="60" customWidth="1"/>
    <col min="4" max="4" width="10.7109375" style="60" bestFit="1" customWidth="1"/>
    <col min="5" max="5" width="25.00390625" style="60" bestFit="1" customWidth="1"/>
    <col min="6" max="6" width="10.00390625" style="60" bestFit="1" customWidth="1"/>
    <col min="7" max="7" width="9.28125" style="60" bestFit="1" customWidth="1"/>
    <col min="8" max="8" width="8.140625" style="60" bestFit="1" customWidth="1"/>
    <col min="9" max="9" width="13.140625" style="60" bestFit="1" customWidth="1"/>
    <col min="10" max="10" width="6.7109375" style="60" customWidth="1"/>
    <col min="11" max="11" width="7.7109375" style="60" hidden="1" customWidth="1"/>
    <col min="12" max="12" width="12.7109375" style="60" customWidth="1"/>
    <col min="13" max="13" width="12.7109375" style="60" hidden="1" customWidth="1"/>
    <col min="14" max="14" width="12.421875" style="60" bestFit="1" customWidth="1"/>
    <col min="15" max="15" width="13.140625" style="60" hidden="1" customWidth="1"/>
    <col min="16" max="16" width="13.421875" style="60" hidden="1" customWidth="1"/>
    <col min="17" max="17" width="14.00390625" style="60" customWidth="1"/>
    <col min="18" max="18" width="14.00390625" style="60" hidden="1" customWidth="1"/>
    <col min="19" max="19" width="13.421875" style="60" hidden="1" customWidth="1"/>
    <col min="20" max="20" width="14.00390625" style="60" bestFit="1" customWidth="1"/>
    <col min="21" max="22" width="9.140625" style="60" customWidth="1"/>
    <col min="23" max="23" width="18.140625" style="60" bestFit="1" customWidth="1"/>
    <col min="24" max="25" width="9.140625" style="60" customWidth="1"/>
    <col min="26" max="26" width="19.8515625" style="60" bestFit="1" customWidth="1"/>
    <col min="27" max="16384" width="9.140625" style="60" customWidth="1"/>
  </cols>
  <sheetData>
    <row r="1" spans="1:20" ht="20.25">
      <c r="A1" s="51" t="s">
        <v>336</v>
      </c>
      <c r="B1" s="52"/>
      <c r="C1" s="52"/>
      <c r="D1" s="52"/>
      <c r="E1" s="52"/>
      <c r="F1" s="53" t="s">
        <v>342</v>
      </c>
      <c r="G1" s="54">
        <f>'Parameters and Analysis'!C3</f>
        <v>42433</v>
      </c>
      <c r="H1" s="52"/>
      <c r="I1" s="52"/>
      <c r="J1" s="55"/>
      <c r="K1" s="56"/>
      <c r="L1" s="55"/>
      <c r="M1" s="57"/>
      <c r="N1" s="58"/>
      <c r="O1" s="58"/>
      <c r="P1" s="59"/>
      <c r="Q1" s="52"/>
      <c r="R1" s="52"/>
      <c r="S1" s="52"/>
      <c r="T1" s="52"/>
    </row>
    <row r="2" spans="1:20" ht="12.75">
      <c r="A2" s="61"/>
      <c r="B2" s="52"/>
      <c r="C2" s="52"/>
      <c r="D2" s="52"/>
      <c r="E2" s="52"/>
      <c r="F2" s="53" t="s">
        <v>343</v>
      </c>
      <c r="G2" s="62">
        <f>'Parameters and Analysis'!C4</f>
        <v>2</v>
      </c>
      <c r="H2" s="52"/>
      <c r="I2" s="52"/>
      <c r="J2" s="52"/>
      <c r="K2" s="52"/>
      <c r="L2" s="52"/>
      <c r="M2" s="63"/>
      <c r="N2" s="64"/>
      <c r="O2" s="64"/>
      <c r="P2" s="65"/>
      <c r="Q2" s="66"/>
      <c r="R2" s="66"/>
      <c r="S2" s="66"/>
      <c r="T2" s="66"/>
    </row>
    <row r="3" spans="1:20" ht="12.75">
      <c r="A3" s="52"/>
      <c r="B3" s="52"/>
      <c r="C3" s="52"/>
      <c r="D3" s="52"/>
      <c r="E3" s="52"/>
      <c r="F3" s="52"/>
      <c r="G3" s="52"/>
      <c r="H3" s="52"/>
      <c r="I3" s="52"/>
      <c r="J3" s="55"/>
      <c r="K3" s="55"/>
      <c r="L3" s="67"/>
      <c r="M3" s="63"/>
      <c r="N3" s="64"/>
      <c r="O3" s="64"/>
      <c r="P3" s="68"/>
      <c r="Q3" s="69"/>
      <c r="R3" s="65"/>
      <c r="S3" s="70"/>
      <c r="T3" s="70"/>
    </row>
    <row r="4" spans="1:20" ht="15.75">
      <c r="A4" s="71" t="s">
        <v>358</v>
      </c>
      <c r="B4" s="52"/>
      <c r="C4" s="52"/>
      <c r="D4" s="52"/>
      <c r="E4" s="52"/>
      <c r="F4" s="52"/>
      <c r="G4" s="52"/>
      <c r="H4" s="52"/>
      <c r="I4" s="52"/>
      <c r="J4" s="55"/>
      <c r="K4" s="55"/>
      <c r="L4" s="72"/>
      <c r="M4" s="63"/>
      <c r="N4" s="73"/>
      <c r="O4" s="52"/>
      <c r="P4" s="74"/>
      <c r="Q4" s="70"/>
      <c r="R4" s="70"/>
      <c r="S4" s="70"/>
      <c r="T4" s="70"/>
    </row>
    <row r="5" spans="1:20" ht="12.75">
      <c r="A5" s="75"/>
      <c r="B5" s="52"/>
      <c r="C5" s="52"/>
      <c r="D5" s="76" t="s">
        <v>217</v>
      </c>
      <c r="E5" s="52"/>
      <c r="F5" s="52"/>
      <c r="G5" s="52"/>
      <c r="H5" s="52"/>
      <c r="I5" s="52"/>
      <c r="J5" s="52"/>
      <c r="K5" s="52"/>
      <c r="L5" s="77"/>
      <c r="M5" s="77"/>
      <c r="N5" s="77"/>
      <c r="O5" s="52"/>
      <c r="P5" s="78"/>
      <c r="Q5" s="79"/>
      <c r="R5" s="80"/>
      <c r="S5" s="81"/>
      <c r="T5" s="81"/>
    </row>
    <row r="6" spans="1:20" ht="12.75">
      <c r="A6" s="61" t="s">
        <v>178</v>
      </c>
      <c r="B6" s="52"/>
      <c r="C6" s="52" t="str">
        <f>'Parameters and Analysis'!B9</f>
        <v>2:  Total Patient Days</v>
      </c>
      <c r="D6" s="82">
        <f>HLOOKUP(CONCATENATE("IP","-",LEFT(C6,1)),Data!A1:DM2,2,FALSE)</f>
        <v>73</v>
      </c>
      <c r="E6" s="52"/>
      <c r="F6" s="52"/>
      <c r="G6" s="52"/>
      <c r="H6" s="52"/>
      <c r="I6" s="52"/>
      <c r="J6" s="52"/>
      <c r="K6" s="52"/>
      <c r="L6" s="77"/>
      <c r="M6" s="52"/>
      <c r="N6" s="77"/>
      <c r="O6" s="52"/>
      <c r="P6" s="78"/>
      <c r="Q6" s="79"/>
      <c r="R6" s="80"/>
      <c r="S6" s="81"/>
      <c r="T6" s="81"/>
    </row>
    <row r="7" spans="1:20" ht="12.75" hidden="1">
      <c r="A7" s="61"/>
      <c r="B7" s="52"/>
      <c r="C7" s="52"/>
      <c r="D7" s="82"/>
      <c r="E7" s="52"/>
      <c r="F7" s="52"/>
      <c r="G7" s="52"/>
      <c r="H7" s="52"/>
      <c r="I7" s="52"/>
      <c r="J7" s="52"/>
      <c r="K7" s="52"/>
      <c r="L7" s="83"/>
      <c r="M7" s="52"/>
      <c r="N7" s="83"/>
      <c r="O7" s="52"/>
      <c r="P7" s="78"/>
      <c r="Q7" s="79"/>
      <c r="R7" s="79"/>
      <c r="S7" s="68"/>
      <c r="T7" s="69"/>
    </row>
    <row r="8" spans="1:20" ht="12.75">
      <c r="A8" s="75"/>
      <c r="B8" s="52"/>
      <c r="C8" s="52"/>
      <c r="D8" s="52"/>
      <c r="E8" s="52"/>
      <c r="F8" s="52"/>
      <c r="G8" s="52"/>
      <c r="H8" s="52"/>
      <c r="I8" s="52"/>
      <c r="J8" s="52"/>
      <c r="K8" s="52"/>
      <c r="L8" s="52"/>
      <c r="M8" s="52"/>
      <c r="N8" s="52"/>
      <c r="O8" s="52"/>
      <c r="P8" s="52"/>
      <c r="Q8" s="52"/>
      <c r="R8" s="52"/>
      <c r="S8" s="52"/>
      <c r="T8" s="52"/>
    </row>
    <row r="9" spans="1:20" ht="54.75" customHeight="1" thickBot="1">
      <c r="A9" s="84" t="s">
        <v>56</v>
      </c>
      <c r="B9" s="84" t="s">
        <v>57</v>
      </c>
      <c r="C9" s="84" t="s">
        <v>0</v>
      </c>
      <c r="D9" s="84" t="s">
        <v>114</v>
      </c>
      <c r="E9" s="84" t="s">
        <v>3</v>
      </c>
      <c r="F9" s="84" t="s">
        <v>135</v>
      </c>
      <c r="G9" s="84" t="s">
        <v>278</v>
      </c>
      <c r="H9" s="84" t="s">
        <v>299</v>
      </c>
      <c r="I9" s="84" t="s">
        <v>296</v>
      </c>
      <c r="J9" s="84" t="s">
        <v>215</v>
      </c>
      <c r="K9" s="84" t="s">
        <v>216</v>
      </c>
      <c r="L9" s="84" t="s">
        <v>327</v>
      </c>
      <c r="M9" s="84" t="s">
        <v>328</v>
      </c>
      <c r="N9" s="84" t="s">
        <v>113</v>
      </c>
      <c r="O9" s="84" t="s">
        <v>177</v>
      </c>
      <c r="P9" s="84" t="s">
        <v>208</v>
      </c>
      <c r="Q9" s="84" t="s">
        <v>320</v>
      </c>
      <c r="R9" s="84" t="s">
        <v>281</v>
      </c>
      <c r="S9" s="84" t="s">
        <v>132</v>
      </c>
      <c r="T9" s="84" t="s">
        <v>225</v>
      </c>
    </row>
    <row r="10" spans="1:20" ht="12.75">
      <c r="A10" s="85" t="s">
        <v>10</v>
      </c>
      <c r="B10" s="86">
        <f>_xlfn.IFERROR(VLOOKUP(A10,Data!A:BL,2,FALSE),"")</f>
        <v>1005630</v>
      </c>
      <c r="C10" s="87" t="str">
        <f>_xlfn.IFERROR(VLOOKUP(A10,Data!A:BL,3,FALSE),"")</f>
        <v>Providence Alaska Medical Center</v>
      </c>
      <c r="D10" s="88" t="str">
        <f>_xlfn.IFERROR(VLOOKUP(A10,Data!A:DM,7,FALSE),"")</f>
        <v>Private</v>
      </c>
      <c r="E10" s="43" t="s">
        <v>53</v>
      </c>
      <c r="F10" s="89" t="str">
        <f>VLOOKUP(E10,'Parameters and Analysis'!$A$29:$B$36,2,FALSE)</f>
        <v>Included</v>
      </c>
      <c r="G10" s="90">
        <f>VLOOKUP(A10,Data!A:DM,83,FALSE)</f>
        <v>0.2403932694189004</v>
      </c>
      <c r="H10" s="91">
        <f>VLOOKUP(A10,Data!A:DM,15,FALSE)</f>
        <v>401</v>
      </c>
      <c r="I10" s="60" t="str">
        <f>IF(F10="Exempt","",IF(G10&gt;'Parameters and Analysis'!$F$21,'Parameters and Analysis'!$A$21,IF(H10&lt;'Parameters and Analysis'!$F$22,'Parameters and Analysis'!$A$22,IF(E10="Critical Access Hospital",'Parameters and Analysis'!$A$23,IF(E10="Other",'Parameters and Analysis'!$A$24,'Parameters and Analysis'!$A$20)))))</f>
        <v>High Medicaid</v>
      </c>
      <c r="J10" s="92">
        <f>IF(F10="Exempt",0,_xlfn.IFERROR(VLOOKUP(I10,'Parameters and Analysis'!$A$20:$B$24,2,FALSE),1))</f>
        <v>0.75</v>
      </c>
      <c r="K10" s="92"/>
      <c r="L10" s="93">
        <f>ROUND(_xlfn.IFERROR(VLOOKUP(A10,Data!A:DM,$D$6,FALSE),0)*J10,0)</f>
        <v>76665</v>
      </c>
      <c r="M10" s="93"/>
      <c r="N10" s="94">
        <f>IF($D$6=15,'Parameters and Analysis'!$B$14*L10,IF(OR($D$6=73,$D$6=74),'Parameters and Analysis'!$C$14*L10,IF(OR($D$6=79,$D$6=116),'Parameters and Analysis'!$D$14*L10,'Parameters and Analysis'!$E$14*L10)))</f>
        <v>2146620</v>
      </c>
      <c r="O10" s="94"/>
      <c r="P10" s="95">
        <f>SUM(N10:O10)</f>
        <v>2146620</v>
      </c>
      <c r="Q10" s="96">
        <f>_xlfn.IFERROR(IF(D10="Private",'Parameters and Analysis'!$D$67*(VLOOKUP(A10,Data!A:DM,72,FALSE)/SUMIF(Data!$G$6:$G$30,"Private",Data!$BT$6:$BT$30)),IF(D10="NSGO",'Parameters and Analysis'!$D$68*(VLOOKUP(A10,Data!A:DM,72,FALSE)/SUMIF(Data!$G$6:$G$30,"NSGO",Data!$BT$6:$BT$30)),0)),0)</f>
        <v>2276280.0407489557</v>
      </c>
      <c r="R10" s="96"/>
      <c r="S10" s="95">
        <f aca="true" t="shared" si="0" ref="S10:S34">SUM(Q10:R10)</f>
        <v>2276280.0407489557</v>
      </c>
      <c r="T10" s="97">
        <f aca="true" t="shared" si="1" ref="T10:T34">S10-P10</f>
        <v>129660.04074895568</v>
      </c>
    </row>
    <row r="11" spans="1:20" ht="12.75">
      <c r="A11" s="85" t="s">
        <v>14</v>
      </c>
      <c r="B11" s="86">
        <f>_xlfn.IFERROR(VLOOKUP(A11,Data!A:BL,2,FALSE),"")</f>
        <v>1006079</v>
      </c>
      <c r="C11" s="87" t="str">
        <f>_xlfn.IFERROR(VLOOKUP(A11,Data!A:BL,3,FALSE),"")</f>
        <v>Mat-Su Regional Medical Center</v>
      </c>
      <c r="D11" s="88" t="str">
        <f>_xlfn.IFERROR(VLOOKUP(A11,Data!A:DM,7,FALSE),"")</f>
        <v>Private</v>
      </c>
      <c r="E11" s="43" t="s">
        <v>53</v>
      </c>
      <c r="F11" s="89" t="str">
        <f>VLOOKUP(E11,'Parameters and Analysis'!$A$29:$B$36,2,FALSE)</f>
        <v>Included</v>
      </c>
      <c r="G11" s="90">
        <f>VLOOKUP(A11,Data!A:DM,83,FALSE)</f>
        <v>0.17581260692196343</v>
      </c>
      <c r="H11" s="91">
        <f>VLOOKUP(A11,Data!A:DM,15,FALSE)</f>
        <v>74</v>
      </c>
      <c r="I11" s="60" t="str">
        <f>IF(F11="Exempt","",IF(G11&gt;'Parameters and Analysis'!$F$21,'Parameters and Analysis'!$A$21,IF(H11&lt;'Parameters and Analysis'!$F$22,'Parameters and Analysis'!$A$22,IF(E11="Critical Access Hospital",'Parameters and Analysis'!$A$23,IF(E11="Other",'Parameters and Analysis'!$A$24,'Parameters and Analysis'!$A$20)))))</f>
        <v>General</v>
      </c>
      <c r="J11" s="92">
        <f>IF(F11="Exempt",0,_xlfn.IFERROR(VLOOKUP(I11,'Parameters and Analysis'!$A$20:$B$24,2,FALSE),1))</f>
        <v>1</v>
      </c>
      <c r="K11" s="92"/>
      <c r="L11" s="93">
        <f>ROUND(_xlfn.IFERROR(VLOOKUP(A11,Data!A:DM,$D$6,FALSE),0)*J11,0)</f>
        <v>15198</v>
      </c>
      <c r="M11" s="93"/>
      <c r="N11" s="94">
        <f>IF($D$6=15,'Parameters and Analysis'!$B$14*L11,IF(OR($D$6=73,$D$6=74),'Parameters and Analysis'!$C$14*L11,IF(OR($D$6=79,$D$6=116),'Parameters and Analysis'!$D$14*L11,'Parameters and Analysis'!$E$14*L11)))</f>
        <v>425544</v>
      </c>
      <c r="O11" s="94"/>
      <c r="P11" s="95">
        <f aca="true" t="shared" si="2" ref="P11:P34">SUM(N11:O11)</f>
        <v>425544</v>
      </c>
      <c r="Q11" s="98">
        <f>_xlfn.IFERROR(IF(D11="Private",'Parameters and Analysis'!$D$67*(VLOOKUP(A11,Data!A:DM,72,FALSE)/SUMIF(Data!$G$6:$G$30,"Private",Data!$BT$6:$BT$30)),IF(D11="NSGO",'Parameters and Analysis'!$D$68*(VLOOKUP(A11,Data!A:DM,72,FALSE)/SUMIF(Data!$G$6:$G$30,"NSGO",Data!$BT$6:$BT$30)),0)),0)</f>
        <v>247516.3907085504</v>
      </c>
      <c r="R11" s="98"/>
      <c r="S11" s="95">
        <f t="shared" si="0"/>
        <v>247516.3907085504</v>
      </c>
      <c r="T11" s="97">
        <f t="shared" si="1"/>
        <v>-178027.6092914496</v>
      </c>
    </row>
    <row r="12" spans="1:20" ht="12.75">
      <c r="A12" s="85" t="s">
        <v>5</v>
      </c>
      <c r="B12" s="86">
        <f>_xlfn.IFERROR(VLOOKUP(A12,Data!A:BL,2,FALSE),"")</f>
        <v>1005539</v>
      </c>
      <c r="C12" s="87" t="str">
        <f>_xlfn.IFERROR(VLOOKUP(A12,Data!A:BL,3,FALSE),"")</f>
        <v>Bartlett Regional Hospital</v>
      </c>
      <c r="D12" s="88" t="str">
        <f>_xlfn.IFERROR(VLOOKUP(A12,Data!A:DM,7,FALSE),"")</f>
        <v>NSGO</v>
      </c>
      <c r="E12" s="43" t="s">
        <v>53</v>
      </c>
      <c r="F12" s="89" t="str">
        <f>VLOOKUP(E12,'Parameters and Analysis'!$A$29:$B$36,2,FALSE)</f>
        <v>Included</v>
      </c>
      <c r="G12" s="90">
        <f>VLOOKUP(A12,Data!A:DM,83,FALSE)</f>
        <v>0.2315678954736351</v>
      </c>
      <c r="H12" s="91">
        <f>VLOOKUP(A12,Data!A:DM,15,FALSE)</f>
        <v>57</v>
      </c>
      <c r="I12" s="60" t="str">
        <f>IF(F12="Exempt","",IF(G12&gt;'Parameters and Analysis'!$F$21,'Parameters and Analysis'!$A$21,IF(H12&lt;'Parameters and Analysis'!$F$22,'Parameters and Analysis'!$A$22,IF(E12="Critical Access Hospital",'Parameters and Analysis'!$A$23,IF(E12="Other",'Parameters and Analysis'!$A$24,'Parameters and Analysis'!$A$20)))))</f>
        <v>High Medicaid</v>
      </c>
      <c r="J12" s="92">
        <f>IF(F12="Exempt",0,_xlfn.IFERROR(VLOOKUP(I12,'Parameters and Analysis'!$A$20:$B$24,2,FALSE),1))</f>
        <v>0.75</v>
      </c>
      <c r="K12" s="92"/>
      <c r="L12" s="93">
        <f>ROUND(_xlfn.IFERROR(VLOOKUP(A12,Data!A:DM,$D$6,FALSE),0)*J12,0)</f>
        <v>6429</v>
      </c>
      <c r="M12" s="93"/>
      <c r="N12" s="94">
        <f>IF($D$6=15,'Parameters and Analysis'!$B$14*L12,IF(OR($D$6=73,$D$6=74),'Parameters and Analysis'!$C$14*L12,IF(OR($D$6=79,$D$6=116),'Parameters and Analysis'!$D$14*L12,'Parameters and Analysis'!$E$14*L12)))</f>
        <v>180012</v>
      </c>
      <c r="O12" s="94"/>
      <c r="P12" s="95">
        <f t="shared" si="2"/>
        <v>180012</v>
      </c>
      <c r="Q12" s="98">
        <f>_xlfn.IFERROR(IF(D12="Private",'Parameters and Analysis'!$D$67*(VLOOKUP(A12,Data!A:DM,72,FALSE)/SUMIF(Data!$G$6:$G$30,"Private",Data!$BT$6:$BT$30)),IF(D12="NSGO",'Parameters and Analysis'!$D$68*(VLOOKUP(A12,Data!A:DM,72,FALSE)/SUMIF(Data!$G$6:$G$30,"NSGO",Data!$BT$6:$BT$30)),0)),0)</f>
        <v>1626009.0598373355</v>
      </c>
      <c r="R12" s="98"/>
      <c r="S12" s="95">
        <f t="shared" si="0"/>
        <v>1626009.0598373355</v>
      </c>
      <c r="T12" s="97">
        <f t="shared" si="1"/>
        <v>1445997.0598373355</v>
      </c>
    </row>
    <row r="13" spans="1:20" ht="12.75">
      <c r="A13" s="85" t="s">
        <v>7</v>
      </c>
      <c r="B13" s="86">
        <f>_xlfn.IFERROR(VLOOKUP(A13,Data!A:BL,2,FALSE),"")</f>
        <v>1005551</v>
      </c>
      <c r="C13" s="87" t="str">
        <f>_xlfn.IFERROR(VLOOKUP(A13,Data!A:BL,3,FALSE),"")</f>
        <v>Fairbanks Memorial Hospital</v>
      </c>
      <c r="D13" s="88" t="str">
        <f>_xlfn.IFERROR(VLOOKUP(A13,Data!A:DM,7,FALSE),"")</f>
        <v>Private</v>
      </c>
      <c r="E13" s="43" t="s">
        <v>53</v>
      </c>
      <c r="F13" s="89" t="str">
        <f>VLOOKUP(E13,'Parameters and Analysis'!$A$29:$B$36,2,FALSE)</f>
        <v>Included</v>
      </c>
      <c r="G13" s="90">
        <f>VLOOKUP(A13,Data!A:DM,83,FALSE)</f>
        <v>0.1793186180422265</v>
      </c>
      <c r="H13" s="91">
        <f>VLOOKUP(A13,Data!A:DM,15,FALSE)</f>
        <v>122</v>
      </c>
      <c r="I13" s="60" t="str">
        <f>IF(F13="Exempt","",IF(G13&gt;'Parameters and Analysis'!$F$21,'Parameters and Analysis'!$A$21,IF(H13&lt;'Parameters and Analysis'!$F$22,'Parameters and Analysis'!$A$22,IF(E13="Critical Access Hospital",'Parameters and Analysis'!$A$23,IF(E13="Other",'Parameters and Analysis'!$A$24,'Parameters and Analysis'!$A$20)))))</f>
        <v>General</v>
      </c>
      <c r="J13" s="92">
        <f>IF(F13="Exempt",0,_xlfn.IFERROR(VLOOKUP(I13,'Parameters and Analysis'!$A$20:$B$24,2,FALSE),1))</f>
        <v>1</v>
      </c>
      <c r="K13" s="92"/>
      <c r="L13" s="93">
        <f>ROUND(_xlfn.IFERROR(VLOOKUP(A13,Data!A:DM,$D$6,FALSE),0)*J13,0)</f>
        <v>20840</v>
      </c>
      <c r="M13" s="93"/>
      <c r="N13" s="94">
        <f>IF($D$6=15,'Parameters and Analysis'!$B$14*L13,IF(OR($D$6=73,$D$6=74),'Parameters and Analysis'!$C$14*L13,IF(OR($D$6=79,$D$6=116),'Parameters and Analysis'!$D$14*L13,'Parameters and Analysis'!$E$14*L13)))</f>
        <v>583520</v>
      </c>
      <c r="O13" s="94"/>
      <c r="P13" s="95">
        <f t="shared" si="2"/>
        <v>583520</v>
      </c>
      <c r="Q13" s="98">
        <f>_xlfn.IFERROR(IF(D13="Private",'Parameters and Analysis'!$D$67*(VLOOKUP(A13,Data!A:DM,72,FALSE)/SUMIF(Data!$G$6:$G$30,"Private",Data!$BT$6:$BT$30)),IF(D13="NSGO",'Parameters and Analysis'!$D$68*(VLOOKUP(A13,Data!A:DM,72,FALSE)/SUMIF(Data!$G$6:$G$30,"NSGO",Data!$BT$6:$BT$30)),0)),0)</f>
        <v>346170.9401488971</v>
      </c>
      <c r="R13" s="98"/>
      <c r="S13" s="95">
        <f t="shared" si="0"/>
        <v>346170.9401488971</v>
      </c>
      <c r="T13" s="97">
        <f t="shared" si="1"/>
        <v>-237349.05985110288</v>
      </c>
    </row>
    <row r="14" spans="1:20" ht="12.75">
      <c r="A14" s="85" t="s">
        <v>4</v>
      </c>
      <c r="B14" s="86">
        <f>_xlfn.IFERROR(VLOOKUP(A14,Data!A:BL,2,FALSE),"")</f>
        <v>1005744</v>
      </c>
      <c r="C14" s="87" t="str">
        <f>_xlfn.IFERROR(VLOOKUP(A14,Data!A:BL,3,FALSE),"")</f>
        <v>Alaska Regional Hospital</v>
      </c>
      <c r="D14" s="88" t="str">
        <f>_xlfn.IFERROR(VLOOKUP(A14,Data!A:DM,7,FALSE),"")</f>
        <v>Private</v>
      </c>
      <c r="E14" s="43" t="s">
        <v>53</v>
      </c>
      <c r="F14" s="89" t="str">
        <f>VLOOKUP(E14,'Parameters and Analysis'!$A$29:$B$36,2,FALSE)</f>
        <v>Included</v>
      </c>
      <c r="G14" s="90">
        <f>VLOOKUP(A14,Data!A:DM,83,FALSE)</f>
        <v>0.1249853624263242</v>
      </c>
      <c r="H14" s="91">
        <f>VLOOKUP(A14,Data!A:DM,15,FALSE)</f>
        <v>126</v>
      </c>
      <c r="I14" s="60" t="str">
        <f>IF(F14="Exempt","",IF(G14&gt;'Parameters and Analysis'!$F$21,'Parameters and Analysis'!$A$21,IF(H14&lt;'Parameters and Analysis'!$F$22,'Parameters and Analysis'!$A$22,IF(E14="Critical Access Hospital",'Parameters and Analysis'!$A$23,IF(E14="Other",'Parameters and Analysis'!$A$24,'Parameters and Analysis'!$A$20)))))</f>
        <v>General</v>
      </c>
      <c r="J14" s="92">
        <f>IF(F14="Exempt",0,_xlfn.IFERROR(VLOOKUP(I14,'Parameters and Analysis'!$A$20:$B$24,2,FALSE),1))</f>
        <v>1</v>
      </c>
      <c r="K14" s="92"/>
      <c r="L14" s="93">
        <f>ROUND(_xlfn.IFERROR(VLOOKUP(A14,Data!A:DM,$D$6,FALSE),0)*J14,0)</f>
        <v>25619</v>
      </c>
      <c r="M14" s="93"/>
      <c r="N14" s="94">
        <f>IF($D$6=15,'Parameters and Analysis'!$B$14*L14,IF(OR($D$6=73,$D$6=74),'Parameters and Analysis'!$C$14*L14,IF(OR($D$6=79,$D$6=116),'Parameters and Analysis'!$D$14*L14,'Parameters and Analysis'!$E$14*L14)))</f>
        <v>717332</v>
      </c>
      <c r="O14" s="94"/>
      <c r="P14" s="95">
        <f t="shared" si="2"/>
        <v>717332</v>
      </c>
      <c r="Q14" s="98">
        <f>_xlfn.IFERROR(IF(D14="Private",'Parameters and Analysis'!$D$67*(VLOOKUP(A14,Data!A:DM,72,FALSE)/SUMIF(Data!$G$6:$G$30,"Private",Data!$BT$6:$BT$30)),IF(D14="NSGO",'Parameters and Analysis'!$D$68*(VLOOKUP(A14,Data!A:DM,72,FALSE)/SUMIF(Data!$G$6:$G$30,"NSGO",Data!$BT$6:$BT$30)),0)),0)</f>
        <v>296612.08197933325</v>
      </c>
      <c r="R14" s="98"/>
      <c r="S14" s="95">
        <f t="shared" si="0"/>
        <v>296612.08197933325</v>
      </c>
      <c r="T14" s="97">
        <f t="shared" si="1"/>
        <v>-420719.91802066675</v>
      </c>
    </row>
    <row r="15" spans="1:20" ht="12.75">
      <c r="A15" s="85" t="s">
        <v>6</v>
      </c>
      <c r="B15" s="86">
        <f>_xlfn.IFERROR(VLOOKUP(A15,Data!A:BL,2,FALSE),"")</f>
        <v>1005528</v>
      </c>
      <c r="C15" s="87" t="str">
        <f>_xlfn.IFERROR(VLOOKUP(A15,Data!A:BL,3,FALSE),"")</f>
        <v>Central Peninsula General Hospital</v>
      </c>
      <c r="D15" s="88" t="str">
        <f>_xlfn.IFERROR(VLOOKUP(A15,Data!A:DM,7,FALSE),"")</f>
        <v>NSGO</v>
      </c>
      <c r="E15" s="43" t="s">
        <v>53</v>
      </c>
      <c r="F15" s="89" t="str">
        <f>VLOOKUP(E15,'Parameters and Analysis'!$A$29:$B$36,2,FALSE)</f>
        <v>Included</v>
      </c>
      <c r="G15" s="90">
        <f>VLOOKUP(A15,Data!A:DM,83,FALSE)</f>
        <v>0.179339561155768</v>
      </c>
      <c r="H15" s="91">
        <f>VLOOKUP(A15,Data!A:DM,15,FALSE)</f>
        <v>46</v>
      </c>
      <c r="I15" s="60" t="str">
        <f>IF(F15="Exempt","",IF(G15&gt;'Parameters and Analysis'!$F$21,'Parameters and Analysis'!$A$21,IF(H15&lt;'Parameters and Analysis'!$F$22,'Parameters and Analysis'!$A$22,IF(E15="Critical Access Hospital",'Parameters and Analysis'!$A$23,IF(E15="Other",'Parameters and Analysis'!$A$24,'Parameters and Analysis'!$A$20)))))</f>
        <v>General</v>
      </c>
      <c r="J15" s="92">
        <f>IF(F15="Exempt",0,_xlfn.IFERROR(VLOOKUP(I15,'Parameters and Analysis'!$A$20:$B$24,2,FALSE),1))</f>
        <v>1</v>
      </c>
      <c r="K15" s="92"/>
      <c r="L15" s="93">
        <f>ROUND(_xlfn.IFERROR(VLOOKUP(A15,Data!A:DM,$D$6,FALSE),0)*J15,0)</f>
        <v>9206</v>
      </c>
      <c r="M15" s="93"/>
      <c r="N15" s="94">
        <f>IF($D$6=15,'Parameters and Analysis'!$B$14*L15,IF(OR($D$6=73,$D$6=74),'Parameters and Analysis'!$C$14*L15,IF(OR($D$6=79,$D$6=116),'Parameters and Analysis'!$D$14*L15,'Parameters and Analysis'!$E$14*L15)))</f>
        <v>257768</v>
      </c>
      <c r="O15" s="94"/>
      <c r="P15" s="95">
        <f t="shared" si="2"/>
        <v>257768</v>
      </c>
      <c r="Q15" s="98">
        <f>_xlfn.IFERROR(IF(D15="Private",'Parameters and Analysis'!$D$67*(VLOOKUP(A15,Data!A:DM,72,FALSE)/SUMIF(Data!$G$6:$G$30,"Private",Data!$BT$6:$BT$30)),IF(D15="NSGO",'Parameters and Analysis'!$D$68*(VLOOKUP(A15,Data!A:DM,72,FALSE)/SUMIF(Data!$G$6:$G$30,"NSGO",Data!$BT$6:$BT$30)),0)),0)</f>
        <v>1352413.5807513557</v>
      </c>
      <c r="R15" s="98"/>
      <c r="S15" s="95">
        <f t="shared" si="0"/>
        <v>1352413.5807513557</v>
      </c>
      <c r="T15" s="97">
        <f t="shared" si="1"/>
        <v>1094645.5807513557</v>
      </c>
    </row>
    <row r="16" spans="1:20" ht="12.75">
      <c r="A16" s="85" t="s">
        <v>19</v>
      </c>
      <c r="B16" s="86">
        <f>_xlfn.IFERROR(VLOOKUP(A16,Data!A:BL,2,FALSE),"")</f>
        <v>1005536</v>
      </c>
      <c r="C16" s="87" t="str">
        <f>_xlfn.IFERROR(VLOOKUP(A16,Data!A:BL,3,FALSE),"")</f>
        <v>Providence Valdez Medical Ctr.</v>
      </c>
      <c r="D16" s="88" t="str">
        <f>_xlfn.IFERROR(VLOOKUP(A16,Data!A:DM,7,FALSE),"")</f>
        <v>NSGO</v>
      </c>
      <c r="E16" s="43" t="s">
        <v>55</v>
      </c>
      <c r="F16" s="89" t="str">
        <f>VLOOKUP(E16,'Parameters and Analysis'!$A$29:$B$36,2,FALSE)</f>
        <v>Included</v>
      </c>
      <c r="G16" s="90">
        <f>VLOOKUP(A16,Data!A:DM,83,FALSE)</f>
        <v>0.10178117048346058</v>
      </c>
      <c r="H16" s="91">
        <f>VLOOKUP(A16,Data!A:DM,15,FALSE)</f>
        <v>11</v>
      </c>
      <c r="I16" s="60" t="str">
        <f>IF(F16="Exempt","",IF(G16&gt;'Parameters and Analysis'!$F$21,'Parameters and Analysis'!$A$21,IF(H16&lt;'Parameters and Analysis'!$F$22,'Parameters and Analysis'!$A$22,IF(E16="Critical Access Hospital",'Parameters and Analysis'!$A$23,IF(E16="Other",'Parameters and Analysis'!$A$24,'Parameters and Analysis'!$A$20)))))</f>
        <v>CAH</v>
      </c>
      <c r="J16" s="92">
        <f>IF(F16="Exempt",0,_xlfn.IFERROR(VLOOKUP(I16,'Parameters and Analysis'!$A$20:$B$24,2,FALSE),1))</f>
        <v>0.75</v>
      </c>
      <c r="K16" s="92"/>
      <c r="L16" s="93">
        <f>ROUND(_xlfn.IFERROR(VLOOKUP(A16,Data!A:DM,$D$6,FALSE),0)*J16,0)</f>
        <v>295</v>
      </c>
      <c r="M16" s="93"/>
      <c r="N16" s="94">
        <f>IF($D$6=15,'Parameters and Analysis'!$B$14*L16,IF(OR($D$6=73,$D$6=74),'Parameters and Analysis'!$C$14*L16,IF(OR($D$6=79,$D$6=116),'Parameters and Analysis'!$D$14*L16,'Parameters and Analysis'!$E$14*L16)))</f>
        <v>8260</v>
      </c>
      <c r="O16" s="94"/>
      <c r="P16" s="95">
        <f t="shared" si="2"/>
        <v>8260</v>
      </c>
      <c r="Q16" s="98">
        <f>_xlfn.IFERROR(IF(D16="Private",'Parameters and Analysis'!$D$67*(VLOOKUP(A16,Data!A:DM,72,FALSE)/SUMIF(Data!$G$6:$G$30,"Private",Data!$BT$6:$BT$30)),IF(D16="NSGO",'Parameters and Analysis'!$D$68*(VLOOKUP(A16,Data!A:DM,72,FALSE)/SUMIF(Data!$G$6:$G$30,"NSGO",Data!$BT$6:$BT$30)),0)),0)</f>
        <v>32765.925639039506</v>
      </c>
      <c r="R16" s="98"/>
      <c r="S16" s="95">
        <f t="shared" si="0"/>
        <v>32765.925639039506</v>
      </c>
      <c r="T16" s="97">
        <f t="shared" si="1"/>
        <v>24505.925639039506</v>
      </c>
    </row>
    <row r="17" spans="1:20" ht="12.75">
      <c r="A17" s="85" t="s">
        <v>16</v>
      </c>
      <c r="B17" s="86">
        <f>_xlfn.IFERROR(VLOOKUP(A17,Data!A:BL,2,FALSE),"")</f>
        <v>1006087</v>
      </c>
      <c r="C17" s="87" t="str">
        <f>_xlfn.IFERROR(VLOOKUP(A17,Data!A:BL,3,FALSE),"")</f>
        <v>Providence Seward Medical &amp; Care Center</v>
      </c>
      <c r="D17" s="88" t="str">
        <f>_xlfn.IFERROR(VLOOKUP(A17,Data!A:DM,7,FALSE),"")</f>
        <v>NSGO</v>
      </c>
      <c r="E17" s="43" t="s">
        <v>55</v>
      </c>
      <c r="F17" s="89" t="str">
        <f>VLOOKUP(E17,'Parameters and Analysis'!$A$29:$B$36,2,FALSE)</f>
        <v>Included</v>
      </c>
      <c r="G17" s="90">
        <f>VLOOKUP(A17,Data!A:DM,83,FALSE)</f>
        <v>0.06716417910447761</v>
      </c>
      <c r="H17" s="91">
        <f>VLOOKUP(A17,Data!A:DM,15,FALSE)</f>
        <v>6</v>
      </c>
      <c r="I17" s="60" t="str">
        <f>IF(F17="Exempt","",IF(G17&gt;'Parameters and Analysis'!$F$21,'Parameters and Analysis'!$A$21,IF(H17&lt;'Parameters and Analysis'!$F$22,'Parameters and Analysis'!$A$22,IF(E17="Critical Access Hospital",'Parameters and Analysis'!$A$23,IF(E17="Other",'Parameters and Analysis'!$A$24,'Parameters and Analysis'!$A$20)))))</f>
        <v>Small Hospital</v>
      </c>
      <c r="J17" s="92">
        <f>IF(F17="Exempt",0,_xlfn.IFERROR(VLOOKUP(I17,'Parameters and Analysis'!$A$20:$B$24,2,FALSE),1))</f>
        <v>0.75</v>
      </c>
      <c r="K17" s="92"/>
      <c r="L17" s="93">
        <f>ROUND(_xlfn.IFERROR(VLOOKUP(A17,Data!A:DM,$D$6,FALSE),0)*J17,0)</f>
        <v>101</v>
      </c>
      <c r="M17" s="93"/>
      <c r="N17" s="94">
        <f>IF($D$6=15,'Parameters and Analysis'!$B$14*L17,IF(OR($D$6=73,$D$6=74),'Parameters and Analysis'!$C$14*L17,IF(OR($D$6=79,$D$6=116),'Parameters and Analysis'!$D$14*L17,'Parameters and Analysis'!$E$14*L17)))</f>
        <v>2828</v>
      </c>
      <c r="O17" s="94"/>
      <c r="P17" s="95">
        <f t="shared" si="2"/>
        <v>2828</v>
      </c>
      <c r="Q17" s="98">
        <f>_xlfn.IFERROR(IF(D17="Private",'Parameters and Analysis'!$D$67*(VLOOKUP(A17,Data!A:DM,72,FALSE)/SUMIF(Data!$G$6:$G$30,"Private",Data!$BT$6:$BT$30)),IF(D17="NSGO",'Parameters and Analysis'!$D$68*(VLOOKUP(A17,Data!A:DM,72,FALSE)/SUMIF(Data!$G$6:$G$30,"NSGO",Data!$BT$6:$BT$30)),0)),0)</f>
        <v>7372.333268783888</v>
      </c>
      <c r="R17" s="98"/>
      <c r="S17" s="95">
        <f t="shared" si="0"/>
        <v>7372.333268783888</v>
      </c>
      <c r="T17" s="97">
        <f t="shared" si="1"/>
        <v>4544.333268783888</v>
      </c>
    </row>
    <row r="18" spans="1:20" ht="12.75">
      <c r="A18" s="85" t="s">
        <v>12</v>
      </c>
      <c r="B18" s="86">
        <f>_xlfn.IFERROR(VLOOKUP(A18,Data!A:BL,2,FALSE),"")</f>
        <v>1005674</v>
      </c>
      <c r="C18" s="87" t="str">
        <f>_xlfn.IFERROR(VLOOKUP(A18,Data!A:BL,3,FALSE),"")</f>
        <v>Sitka Community Hospital</v>
      </c>
      <c r="D18" s="88" t="str">
        <f>_xlfn.IFERROR(VLOOKUP(A18,Data!A:DM,7,FALSE),"")</f>
        <v>NSGO</v>
      </c>
      <c r="E18" s="43" t="s">
        <v>55</v>
      </c>
      <c r="F18" s="89" t="str">
        <f>VLOOKUP(E18,'Parameters and Analysis'!$A$29:$B$36,2,FALSE)</f>
        <v>Included</v>
      </c>
      <c r="G18" s="90">
        <f>VLOOKUP(A18,Data!A:DM,83,FALSE)</f>
        <v>0.060767590618336885</v>
      </c>
      <c r="H18" s="91">
        <f>VLOOKUP(A18,Data!A:DM,15,FALSE)</f>
        <v>11</v>
      </c>
      <c r="I18" s="60" t="str">
        <f>IF(F18="Exempt","",IF(G18&gt;'Parameters and Analysis'!$F$21,'Parameters and Analysis'!$A$21,IF(H18&lt;'Parameters and Analysis'!$F$22,'Parameters and Analysis'!$A$22,IF(E18="Critical Access Hospital",'Parameters and Analysis'!$A$23,IF(E18="Other",'Parameters and Analysis'!$A$24,'Parameters and Analysis'!$A$20)))))</f>
        <v>CAH</v>
      </c>
      <c r="J18" s="92">
        <f>IF(F18="Exempt",0,_xlfn.IFERROR(VLOOKUP(I18,'Parameters and Analysis'!$A$20:$B$24,2,FALSE),1))</f>
        <v>0.75</v>
      </c>
      <c r="K18" s="92"/>
      <c r="L18" s="93">
        <f>ROUND(_xlfn.IFERROR(VLOOKUP(A18,Data!A:DM,$D$6,FALSE),0)*J18,0)</f>
        <v>704</v>
      </c>
      <c r="M18" s="93"/>
      <c r="N18" s="94">
        <f>IF($D$6=15,'Parameters and Analysis'!$B$14*L18,IF(OR($D$6=73,$D$6=74),'Parameters and Analysis'!$C$14*L18,IF(OR($D$6=79,$D$6=116),'Parameters and Analysis'!$D$14*L18,'Parameters and Analysis'!$E$14*L18)))</f>
        <v>19712</v>
      </c>
      <c r="O18" s="94"/>
      <c r="P18" s="95">
        <f t="shared" si="2"/>
        <v>19712</v>
      </c>
      <c r="Q18" s="98">
        <f>_xlfn.IFERROR(IF(D18="Private",'Parameters and Analysis'!$D$67*(VLOOKUP(A18,Data!A:DM,72,FALSE)/SUMIF(Data!$G$6:$G$30,"Private",Data!$BT$6:$BT$30)),IF(D18="NSGO",'Parameters and Analysis'!$D$68*(VLOOKUP(A18,Data!A:DM,72,FALSE)/SUMIF(Data!$G$6:$G$30,"NSGO",Data!$BT$6:$BT$30)),0)),0)</f>
        <v>46691.44403563129</v>
      </c>
      <c r="R18" s="98"/>
      <c r="S18" s="95">
        <f t="shared" si="0"/>
        <v>46691.44403563129</v>
      </c>
      <c r="T18" s="97">
        <f t="shared" si="1"/>
        <v>26979.44403563129</v>
      </c>
    </row>
    <row r="19" spans="1:20" ht="12.75">
      <c r="A19" s="85" t="s">
        <v>9</v>
      </c>
      <c r="B19" s="86">
        <f>_xlfn.IFERROR(VLOOKUP(A19,Data!A:BL,2,FALSE),"")</f>
        <v>1005609</v>
      </c>
      <c r="C19" s="87" t="str">
        <f>_xlfn.IFERROR(VLOOKUP(A19,Data!A:BL,3,FALSE),"")</f>
        <v>Petersburg Medical Center</v>
      </c>
      <c r="D19" s="88" t="str">
        <f>_xlfn.IFERROR(VLOOKUP(A19,Data!A:DM,7,FALSE),"")</f>
        <v>NSGO</v>
      </c>
      <c r="E19" s="43" t="s">
        <v>55</v>
      </c>
      <c r="F19" s="89" t="str">
        <f>VLOOKUP(E19,'Parameters and Analysis'!$A$29:$B$36,2,FALSE)</f>
        <v>Included</v>
      </c>
      <c r="G19" s="90">
        <f>VLOOKUP(A19,Data!A:DM,83,FALSE)</f>
        <v>0.08787878787878789</v>
      </c>
      <c r="H19" s="91">
        <f>VLOOKUP(A19,Data!A:DM,15,FALSE)</f>
        <v>12</v>
      </c>
      <c r="I19" s="60" t="str">
        <f>IF(F19="Exempt","",IF(G19&gt;'Parameters and Analysis'!$F$21,'Parameters and Analysis'!$A$21,IF(H19&lt;'Parameters and Analysis'!$F$22,'Parameters and Analysis'!$A$22,IF(E19="Critical Access Hospital",'Parameters and Analysis'!$A$23,IF(E19="Other",'Parameters and Analysis'!$A$24,'Parameters and Analysis'!$A$20)))))</f>
        <v>CAH</v>
      </c>
      <c r="J19" s="92">
        <f>IF(F19="Exempt",0,_xlfn.IFERROR(VLOOKUP(I19,'Parameters and Analysis'!$A$20:$B$24,2,FALSE),1))</f>
        <v>0.75</v>
      </c>
      <c r="K19" s="92"/>
      <c r="L19" s="93">
        <f>ROUND(_xlfn.IFERROR(VLOOKUP(A19,Data!A:DM,$D$6,FALSE),0)*J19,0)</f>
        <v>248</v>
      </c>
      <c r="M19" s="93"/>
      <c r="N19" s="94">
        <f>IF($D$6=15,'Parameters and Analysis'!$B$14*L19,IF(OR($D$6=73,$D$6=74),'Parameters and Analysis'!$C$14*L19,IF(OR($D$6=79,$D$6=116),'Parameters and Analysis'!$D$14*L19,'Parameters and Analysis'!$E$14*L19)))</f>
        <v>6944</v>
      </c>
      <c r="O19" s="94"/>
      <c r="P19" s="95">
        <f t="shared" si="2"/>
        <v>6944</v>
      </c>
      <c r="Q19" s="98">
        <f>_xlfn.IFERROR(IF(D19="Private",'Parameters and Analysis'!$D$67*(VLOOKUP(A19,Data!A:DM,72,FALSE)/SUMIF(Data!$G$6:$G$30,"Private",Data!$BT$6:$BT$30)),IF(D19="NSGO",'Parameters and Analysis'!$D$68*(VLOOKUP(A19,Data!A:DM,72,FALSE)/SUMIF(Data!$G$6:$G$30,"NSGO",Data!$BT$6:$BT$30)),0)),0)</f>
        <v>23755.296088303643</v>
      </c>
      <c r="R19" s="98"/>
      <c r="S19" s="95">
        <f t="shared" si="0"/>
        <v>23755.296088303643</v>
      </c>
      <c r="T19" s="97">
        <f t="shared" si="1"/>
        <v>16811.296088303643</v>
      </c>
    </row>
    <row r="20" spans="1:20" ht="12.75">
      <c r="A20" s="85" t="s">
        <v>17</v>
      </c>
      <c r="B20" s="86">
        <f>_xlfn.IFERROR(VLOOKUP(A20,Data!A:BL,2,FALSE),"")</f>
        <v>1005584</v>
      </c>
      <c r="C20" s="87" t="str">
        <f>_xlfn.IFERROR(VLOOKUP(A20,Data!A:BL,3,FALSE),"")</f>
        <v>Wrangell Medical Center</v>
      </c>
      <c r="D20" s="88" t="str">
        <f>_xlfn.IFERROR(VLOOKUP(A20,Data!A:DM,7,FALSE),"")</f>
        <v>NSGO</v>
      </c>
      <c r="E20" s="43" t="s">
        <v>55</v>
      </c>
      <c r="F20" s="89" t="str">
        <f>VLOOKUP(E20,'Parameters and Analysis'!$A$29:$B$36,2,FALSE)</f>
        <v>Included</v>
      </c>
      <c r="G20" s="90">
        <f>VLOOKUP(A20,Data!A:DM,83,FALSE)</f>
        <v>0.036585365853658534</v>
      </c>
      <c r="H20" s="91">
        <f>VLOOKUP(A20,Data!A:DM,15,FALSE)</f>
        <v>8</v>
      </c>
      <c r="I20" s="60" t="str">
        <f>IF(F20="Exempt","",IF(G20&gt;'Parameters and Analysis'!$F$21,'Parameters and Analysis'!$A$21,IF(H20&lt;'Parameters and Analysis'!$F$22,'Parameters and Analysis'!$A$22,IF(E20="Critical Access Hospital",'Parameters and Analysis'!$A$23,IF(E20="Other",'Parameters and Analysis'!$A$24,'Parameters and Analysis'!$A$20)))))</f>
        <v>Small Hospital</v>
      </c>
      <c r="J20" s="92">
        <f>IF(F20="Exempt",0,_xlfn.IFERROR(VLOOKUP(I20,'Parameters and Analysis'!$A$20:$B$24,2,FALSE),1))</f>
        <v>0.75</v>
      </c>
      <c r="K20" s="92"/>
      <c r="L20" s="93">
        <f>ROUND(_xlfn.IFERROR(VLOOKUP(A20,Data!A:DM,$D$6,FALSE),0)*J20,0)</f>
        <v>308</v>
      </c>
      <c r="M20" s="93"/>
      <c r="N20" s="94">
        <f>IF($D$6=15,'Parameters and Analysis'!$B$14*L20,IF(OR($D$6=73,$D$6=74),'Parameters and Analysis'!$C$14*L20,IF(OR($D$6=79,$D$6=116),'Parameters and Analysis'!$D$14*L20,'Parameters and Analysis'!$E$14*L20)))</f>
        <v>8624</v>
      </c>
      <c r="O20" s="94"/>
      <c r="P20" s="95">
        <f t="shared" si="2"/>
        <v>8624</v>
      </c>
      <c r="Q20" s="98">
        <f>_xlfn.IFERROR(IF(D20="Private",'Parameters and Analysis'!$D$67*(VLOOKUP(A20,Data!A:DM,72,FALSE)/SUMIF(Data!$G$6:$G$30,"Private",Data!$BT$6:$BT$30)),IF(D20="NSGO",'Parameters and Analysis'!$D$68*(VLOOKUP(A20,Data!A:DM,72,FALSE)/SUMIF(Data!$G$6:$G$30,"NSGO",Data!$BT$6:$BT$30)),0)),0)</f>
        <v>12287.222114639813</v>
      </c>
      <c r="R20" s="98"/>
      <c r="S20" s="95">
        <f t="shared" si="0"/>
        <v>12287.222114639813</v>
      </c>
      <c r="T20" s="97">
        <f t="shared" si="1"/>
        <v>3663.2221146398133</v>
      </c>
    </row>
    <row r="21" spans="1:20" ht="12.75">
      <c r="A21" s="85" t="s">
        <v>11</v>
      </c>
      <c r="B21" s="86">
        <f>_xlfn.IFERROR(VLOOKUP(A21,Data!A:BL,2,FALSE),"")</f>
        <v>1005622</v>
      </c>
      <c r="C21" s="87" t="str">
        <f>_xlfn.IFERROR(VLOOKUP(A21,Data!A:BL,3,FALSE),"")</f>
        <v>Providence Kodiak Island Medical Center</v>
      </c>
      <c r="D21" s="88" t="str">
        <f>_xlfn.IFERROR(VLOOKUP(A21,Data!A:DM,7,FALSE),"")</f>
        <v>Private</v>
      </c>
      <c r="E21" s="43" t="s">
        <v>55</v>
      </c>
      <c r="F21" s="89" t="str">
        <f>VLOOKUP(E21,'Parameters and Analysis'!$A$29:$B$36,2,FALSE)</f>
        <v>Included</v>
      </c>
      <c r="G21" s="90">
        <f>VLOOKUP(A21,Data!A:DM,83,FALSE)</f>
        <v>0.2311365807067813</v>
      </c>
      <c r="H21" s="91">
        <f>VLOOKUP(A21,Data!A:DM,15,FALSE)</f>
        <v>25</v>
      </c>
      <c r="I21" s="60" t="str">
        <f>IF(F21="Exempt","",IF(G21&gt;'Parameters and Analysis'!$F$21,'Parameters and Analysis'!$A$21,IF(H21&lt;'Parameters and Analysis'!$F$22,'Parameters and Analysis'!$A$22,IF(E21="Critical Access Hospital",'Parameters and Analysis'!$A$23,IF(E21="Other",'Parameters and Analysis'!$A$24,'Parameters and Analysis'!$A$20)))))</f>
        <v>High Medicaid</v>
      </c>
      <c r="J21" s="92">
        <f>IF(F21="Exempt",0,_xlfn.IFERROR(VLOOKUP(I21,'Parameters and Analysis'!$A$20:$B$24,2,FALSE),1))</f>
        <v>0.75</v>
      </c>
      <c r="K21" s="92"/>
      <c r="L21" s="93">
        <f>ROUND(_xlfn.IFERROR(VLOOKUP(A21,Data!A:DM,$D$6,FALSE),0)*J21,0)</f>
        <v>1571</v>
      </c>
      <c r="M21" s="93"/>
      <c r="N21" s="94">
        <f>IF($D$6=15,'Parameters and Analysis'!$B$14*L21,IF(OR($D$6=73,$D$6=74),'Parameters and Analysis'!$C$14*L21,IF(OR($D$6=79,$D$6=116),'Parameters and Analysis'!$D$14*L21,'Parameters and Analysis'!$E$14*L21)))</f>
        <v>43988</v>
      </c>
      <c r="O21" s="94"/>
      <c r="P21" s="95">
        <f t="shared" si="2"/>
        <v>43988</v>
      </c>
      <c r="Q21" s="98">
        <f>_xlfn.IFERROR(IF(D21="Private",'Parameters and Analysis'!$D$67*(VLOOKUP(A21,Data!A:DM,72,FALSE)/SUMIF(Data!$G$6:$G$30,"Private",Data!$BT$6:$BT$30)),IF(D21="NSGO",'Parameters and Analysis'!$D$68*(VLOOKUP(A21,Data!A:DM,72,FALSE)/SUMIF(Data!$G$6:$G$30,"NSGO",Data!$BT$6:$BT$30)),0)),0)</f>
        <v>44834.555801997914</v>
      </c>
      <c r="R21" s="98"/>
      <c r="S21" s="95">
        <f t="shared" si="0"/>
        <v>44834.555801997914</v>
      </c>
      <c r="T21" s="97">
        <f t="shared" si="1"/>
        <v>846.5558019979144</v>
      </c>
    </row>
    <row r="22" spans="1:20" ht="12.75">
      <c r="A22" s="85" t="s">
        <v>18</v>
      </c>
      <c r="B22" s="86">
        <f>_xlfn.IFERROR(VLOOKUP(A22,Data!A:BL,2,FALSE),"")</f>
        <v>1005594</v>
      </c>
      <c r="C22" s="87" t="str">
        <f>_xlfn.IFERROR(VLOOKUP(A22,Data!A:BL,3,FALSE),"")</f>
        <v>Cordova Community Medical Ctr.</v>
      </c>
      <c r="D22" s="88" t="str">
        <f>_xlfn.IFERROR(VLOOKUP(A22,Data!A:DM,7,FALSE),"")</f>
        <v>NSGO</v>
      </c>
      <c r="E22" s="43" t="s">
        <v>55</v>
      </c>
      <c r="F22" s="89" t="str">
        <f>VLOOKUP(E22,'Parameters and Analysis'!$A$29:$B$36,2,FALSE)</f>
        <v>Included</v>
      </c>
      <c r="G22" s="90">
        <f>VLOOKUP(A22,Data!A:DM,83,FALSE)</f>
        <v>0.025974025974025976</v>
      </c>
      <c r="H22" s="91">
        <f>VLOOKUP(A22,Data!A:DM,15,FALSE)</f>
        <v>13</v>
      </c>
      <c r="I22" s="60" t="str">
        <f>IF(F22="Exempt","",IF(G22&gt;'Parameters and Analysis'!$F$21,'Parameters and Analysis'!$A$21,IF(H22&lt;'Parameters and Analysis'!$F$22,'Parameters and Analysis'!$A$22,IF(E22="Critical Access Hospital",'Parameters and Analysis'!$A$23,IF(E22="Other",'Parameters and Analysis'!$A$24,'Parameters and Analysis'!$A$20)))))</f>
        <v>CAH</v>
      </c>
      <c r="J22" s="92">
        <f>IF(F22="Exempt",0,_xlfn.IFERROR(VLOOKUP(I22,'Parameters and Analysis'!$A$20:$B$24,2,FALSE),1))</f>
        <v>0.75</v>
      </c>
      <c r="K22" s="92"/>
      <c r="L22" s="93">
        <f>ROUND(_xlfn.IFERROR(VLOOKUP(A22,Data!A:DM,$D$6,FALSE),0)*J22,0)</f>
        <v>116</v>
      </c>
      <c r="M22" s="93"/>
      <c r="N22" s="94">
        <f>IF($D$6=15,'Parameters and Analysis'!$B$14*L22,IF(OR($D$6=73,$D$6=74),'Parameters and Analysis'!$C$14*L22,IF(OR($D$6=79,$D$6=116),'Parameters and Analysis'!$D$14*L22,'Parameters and Analysis'!$E$14*L22)))</f>
        <v>3248</v>
      </c>
      <c r="O22" s="94"/>
      <c r="P22" s="95">
        <f t="shared" si="2"/>
        <v>3248</v>
      </c>
      <c r="Q22" s="98">
        <f>_xlfn.IFERROR(IF(D22="Private",'Parameters and Analysis'!$D$67*(VLOOKUP(A22,Data!A:DM,72,FALSE)/SUMIF(Data!$G$6:$G$30,"Private",Data!$BT$6:$BT$30)),IF(D22="NSGO",'Parameters and Analysis'!$D$68*(VLOOKUP(A22,Data!A:DM,72,FALSE)/SUMIF(Data!$G$6:$G$30,"NSGO",Data!$BT$6:$BT$30)),0)),0)</f>
        <v>3276.5925639039506</v>
      </c>
      <c r="R22" s="98"/>
      <c r="S22" s="95">
        <f t="shared" si="0"/>
        <v>3276.5925639039506</v>
      </c>
      <c r="T22" s="97">
        <f t="shared" si="1"/>
        <v>28.592563903950577</v>
      </c>
    </row>
    <row r="23" spans="1:20" ht="12.75">
      <c r="A23" s="85" t="s">
        <v>8</v>
      </c>
      <c r="B23" s="86">
        <f>_xlfn.IFERROR(VLOOKUP(A23,Data!A:BL,2,FALSE),"")</f>
        <v>1005563</v>
      </c>
      <c r="C23" s="87" t="str">
        <f>_xlfn.IFERROR(VLOOKUP(A23,Data!A:BL,3,FALSE),"")</f>
        <v>PeaceHealth Ketchikan Medical Center</v>
      </c>
      <c r="D23" s="88" t="str">
        <f>_xlfn.IFERROR(VLOOKUP(A23,Data!A:DM,7,FALSE),"")</f>
        <v>NSGO</v>
      </c>
      <c r="E23" s="43" t="s">
        <v>55</v>
      </c>
      <c r="F23" s="89" t="str">
        <f>VLOOKUP(E23,'Parameters and Analysis'!$A$29:$B$36,2,FALSE)</f>
        <v>Included</v>
      </c>
      <c r="G23" s="90">
        <f>VLOOKUP(A23,Data!A:DM,83,FALSE)</f>
        <v>0.1960212201591512</v>
      </c>
      <c r="H23" s="91">
        <f>VLOOKUP(A23,Data!A:DM,15,FALSE)</f>
        <v>20</v>
      </c>
      <c r="I23" s="60" t="str">
        <f>IF(F23="Exempt","",IF(G23&gt;'Parameters and Analysis'!$F$21,'Parameters and Analysis'!$A$21,IF(H23&lt;'Parameters and Analysis'!$F$22,'Parameters and Analysis'!$A$22,IF(E23="Critical Access Hospital",'Parameters and Analysis'!$A$23,IF(E23="Other",'Parameters and Analysis'!$A$24,'Parameters and Analysis'!$A$20)))))</f>
        <v>CAH</v>
      </c>
      <c r="J23" s="92">
        <f>IF(F23="Exempt",0,_xlfn.IFERROR(VLOOKUP(I23,'Parameters and Analysis'!$A$20:$B$24,2,FALSE),1))</f>
        <v>0.75</v>
      </c>
      <c r="K23" s="92"/>
      <c r="L23" s="93">
        <f>ROUND(_xlfn.IFERROR(VLOOKUP(A23,Data!A:DM,$D$6,FALSE),0)*J23,0)</f>
        <v>2828</v>
      </c>
      <c r="M23" s="93"/>
      <c r="N23" s="94">
        <f>IF($D$6=15,'Parameters and Analysis'!$B$14*L23,IF(OR($D$6=73,$D$6=74),'Parameters and Analysis'!$C$14*L23,IF(OR($D$6=79,$D$6=116),'Parameters and Analysis'!$D$14*L23,'Parameters and Analysis'!$E$14*L23)))</f>
        <v>79184</v>
      </c>
      <c r="O23" s="94"/>
      <c r="P23" s="95">
        <f t="shared" si="2"/>
        <v>79184</v>
      </c>
      <c r="Q23" s="98">
        <f>_xlfn.IFERROR(IF(D23="Private",'Parameters and Analysis'!$D$67*(VLOOKUP(A23,Data!A:DM,72,FALSE)/SUMIF(Data!$G$6:$G$30,"Private",Data!$BT$6:$BT$30)),IF(D23="NSGO",'Parameters and Analysis'!$D$68*(VLOOKUP(A23,Data!A:DM,72,FALSE)/SUMIF(Data!$G$6:$G$30,"NSGO",Data!$BT$6:$BT$30)),0)),0)</f>
        <v>605350.4761812548</v>
      </c>
      <c r="R23" s="98"/>
      <c r="S23" s="95">
        <f t="shared" si="0"/>
        <v>605350.4761812548</v>
      </c>
      <c r="T23" s="97">
        <f t="shared" si="1"/>
        <v>526166.4761812548</v>
      </c>
    </row>
    <row r="24" spans="1:20" ht="12.75">
      <c r="A24" s="85" t="s">
        <v>13</v>
      </c>
      <c r="B24" s="86">
        <f>_xlfn.IFERROR(VLOOKUP(A24,Data!A:BL,2,FALSE),"")</f>
        <v>1005653</v>
      </c>
      <c r="C24" s="87" t="str">
        <f>_xlfn.IFERROR(VLOOKUP(A24,Data!A:BL,3,FALSE),"")</f>
        <v>South Peninsula Hospital</v>
      </c>
      <c r="D24" s="88" t="str">
        <f>_xlfn.IFERROR(VLOOKUP(A24,Data!A:DM,7,FALSE),"")</f>
        <v>NSGO</v>
      </c>
      <c r="E24" s="43" t="s">
        <v>55</v>
      </c>
      <c r="F24" s="89" t="str">
        <f>VLOOKUP(E24,'Parameters and Analysis'!$A$29:$B$36,2,FALSE)</f>
        <v>Included</v>
      </c>
      <c r="G24" s="90">
        <f>VLOOKUP(A24,Data!A:DM,83,FALSE)</f>
        <v>0.2467936261173727</v>
      </c>
      <c r="H24" s="91">
        <f>VLOOKUP(A24,Data!A:DM,15,FALSE)</f>
        <v>21</v>
      </c>
      <c r="I24" s="60" t="str">
        <f>IF(F24="Exempt","",IF(G24&gt;'Parameters and Analysis'!$F$21,'Parameters and Analysis'!$A$21,IF(H24&lt;'Parameters and Analysis'!$F$22,'Parameters and Analysis'!$A$22,IF(E24="Critical Access Hospital",'Parameters and Analysis'!$A$23,IF(E24="Other",'Parameters and Analysis'!$A$24,'Parameters and Analysis'!$A$20)))))</f>
        <v>High Medicaid</v>
      </c>
      <c r="J24" s="92">
        <f>IF(F24="Exempt",0,_xlfn.IFERROR(VLOOKUP(I24,'Parameters and Analysis'!$A$20:$B$24,2,FALSE),1))</f>
        <v>0.75</v>
      </c>
      <c r="K24" s="92"/>
      <c r="L24" s="93">
        <f>ROUND(_xlfn.IFERROR(VLOOKUP(A24,Data!A:DM,$D$6,FALSE),0)*J24,0)</f>
        <v>1930</v>
      </c>
      <c r="M24" s="93"/>
      <c r="N24" s="94">
        <f>IF($D$6=15,'Parameters and Analysis'!$B$14*L24,IF(OR($D$6=73,$D$6=74),'Parameters and Analysis'!$C$14*L24,IF(OR($D$6=79,$D$6=116),'Parameters and Analysis'!$D$14*L24,'Parameters and Analysis'!$E$14*L24)))</f>
        <v>54040</v>
      </c>
      <c r="O24" s="94"/>
      <c r="P24" s="95">
        <f t="shared" si="2"/>
        <v>54040</v>
      </c>
      <c r="Q24" s="98">
        <f>_xlfn.IFERROR(IF(D24="Private",'Parameters and Analysis'!$D$67*(VLOOKUP(A24,Data!A:DM,72,FALSE)/SUMIF(Data!$G$6:$G$30,"Private",Data!$BT$6:$BT$30)),IF(D24="NSGO",'Parameters and Analysis'!$D$68*(VLOOKUP(A24,Data!A:DM,72,FALSE)/SUMIF(Data!$G$6:$G$30,"NSGO",Data!$BT$6:$BT$30)),0)),0)</f>
        <v>520159.06951975217</v>
      </c>
      <c r="R24" s="98"/>
      <c r="S24" s="95">
        <f t="shared" si="0"/>
        <v>520159.06951975217</v>
      </c>
      <c r="T24" s="97">
        <f t="shared" si="1"/>
        <v>466119.06951975217</v>
      </c>
    </row>
    <row r="25" spans="1:20" ht="12.75">
      <c r="A25" s="85" t="s">
        <v>15</v>
      </c>
      <c r="B25" s="86">
        <f>_xlfn.IFERROR(VLOOKUP(A25,Data!A:BL,2,FALSE),"")</f>
        <v>1006190</v>
      </c>
      <c r="C25" s="87" t="str">
        <f>_xlfn.IFERROR(VLOOKUP(A25,Data!A:BL,3,FALSE),"")</f>
        <v>St. Elias Specialty Hospital</v>
      </c>
      <c r="D25" s="88" t="str">
        <f>_xlfn.IFERROR(VLOOKUP(A25,Data!A:DM,7,FALSE),"")</f>
        <v>Private</v>
      </c>
      <c r="E25" s="43" t="s">
        <v>54</v>
      </c>
      <c r="F25" s="89" t="str">
        <f>VLOOKUP(E25,'Parameters and Analysis'!$A$29:$B$36,2,FALSE)</f>
        <v>Included</v>
      </c>
      <c r="G25" s="90">
        <f>VLOOKUP(A25,Data!A:DM,83,FALSE)</f>
        <v>0.13781965006729474</v>
      </c>
      <c r="H25" s="91">
        <f>VLOOKUP(A25,Data!A:DM,15,FALSE)</f>
        <v>59</v>
      </c>
      <c r="I25" s="60" t="str">
        <f>IF(F25="Exempt","",IF(G25&gt;'Parameters and Analysis'!$F$21,'Parameters and Analysis'!$A$21,IF(H25&lt;'Parameters and Analysis'!$F$22,'Parameters and Analysis'!$A$22,IF(E25="Critical Access Hospital",'Parameters and Analysis'!$A$23,IF(E25="Other",'Parameters and Analysis'!$A$24,'Parameters and Analysis'!$A$20)))))</f>
        <v>General</v>
      </c>
      <c r="J25" s="92">
        <f>IF(F25="Exempt",0,_xlfn.IFERROR(VLOOKUP(I25,'Parameters and Analysis'!$A$20:$B$24,2,FALSE),1))</f>
        <v>1</v>
      </c>
      <c r="K25" s="92"/>
      <c r="L25" s="93">
        <f>ROUND(_xlfn.IFERROR(VLOOKUP(A25,Data!A:DM,$D$6,FALSE),0)*J25,0)</f>
        <v>11145</v>
      </c>
      <c r="M25" s="93"/>
      <c r="N25" s="94">
        <f>IF($D$6=15,'Parameters and Analysis'!$B$14*L25,IF(OR($D$6=73,$D$6=74),'Parameters and Analysis'!$C$14*L25,IF(OR($D$6=79,$D$6=116),'Parameters and Analysis'!$D$14*L25,'Parameters and Analysis'!$E$14*L25)))</f>
        <v>312060</v>
      </c>
      <c r="O25" s="94"/>
      <c r="P25" s="95">
        <f t="shared" si="2"/>
        <v>312060</v>
      </c>
      <c r="Q25" s="98">
        <f>_xlfn.IFERROR(IF(D25="Private",'Parameters and Analysis'!$D$67*(VLOOKUP(A25,Data!A:DM,72,FALSE)/SUMIF(Data!$G$6:$G$30,"Private",Data!$BT$6:$BT$30)),IF(D25="NSGO",'Parameters and Analysis'!$D$68*(VLOOKUP(A25,Data!A:DM,72,FALSE)/SUMIF(Data!$G$6:$G$30,"NSGO",Data!$BT$6:$BT$30)),0)),0)</f>
        <v>142284.87130551398</v>
      </c>
      <c r="R25" s="98"/>
      <c r="S25" s="95">
        <f t="shared" si="0"/>
        <v>142284.87130551398</v>
      </c>
      <c r="T25" s="97">
        <f t="shared" si="1"/>
        <v>-169775.12869448602</v>
      </c>
    </row>
    <row r="26" spans="1:20" ht="12.75">
      <c r="A26" s="85" t="s">
        <v>21</v>
      </c>
      <c r="B26" s="86">
        <f>_xlfn.IFERROR(VLOOKUP(A26,Data!A:BL,2,FALSE),"")</f>
        <v>1005826</v>
      </c>
      <c r="C26" s="87" t="str">
        <f>_xlfn.IFERROR(VLOOKUP(A26,Data!A:BL,3,FALSE),"")</f>
        <v>North Star Hospital</v>
      </c>
      <c r="D26" s="88" t="str">
        <f>_xlfn.IFERROR(VLOOKUP(A26,Data!A:DM,7,FALSE),"")</f>
        <v>Private</v>
      </c>
      <c r="E26" s="43" t="s">
        <v>119</v>
      </c>
      <c r="F26" s="89" t="str">
        <f>VLOOKUP(E26,'Parameters and Analysis'!$A$29:$B$36,2,FALSE)</f>
        <v>Included</v>
      </c>
      <c r="G26" s="90">
        <f>VLOOKUP(A26,Data!A:DM,83,FALSE)</f>
        <v>0.7498463219725429</v>
      </c>
      <c r="H26" s="91">
        <f>VLOOKUP(A26,Data!A:DM,15,FALSE)</f>
        <v>110</v>
      </c>
      <c r="I26" s="60" t="str">
        <f>IF(F26="Exempt","",IF(G26&gt;'Parameters and Analysis'!$F$21,'Parameters and Analysis'!$A$21,IF(H26&lt;'Parameters and Analysis'!$F$22,'Parameters and Analysis'!$A$22,IF(E26="Critical Access Hospital",'Parameters and Analysis'!$A$23,IF(E26="Other",'Parameters and Analysis'!$A$24,'Parameters and Analysis'!$A$20)))))</f>
        <v>High Medicaid</v>
      </c>
      <c r="J26" s="92">
        <f>IF(F26="Exempt",0,_xlfn.IFERROR(VLOOKUP(I26,'Parameters and Analysis'!$A$20:$B$24,2,FALSE),1))</f>
        <v>0.75</v>
      </c>
      <c r="K26" s="92"/>
      <c r="L26" s="93">
        <f>ROUND(_xlfn.IFERROR(VLOOKUP(A26,Data!A:DM,$D$6,FALSE),0)*J26,0)</f>
        <v>21962</v>
      </c>
      <c r="M26" s="93"/>
      <c r="N26" s="94">
        <f>IF($D$6=15,'Parameters and Analysis'!$B$14*L26,IF(OR($D$6=73,$D$6=74),'Parameters and Analysis'!$C$14*L26,IF(OR($D$6=79,$D$6=116),'Parameters and Analysis'!$D$14*L26,'Parameters and Analysis'!$E$14*L26)))</f>
        <v>614936</v>
      </c>
      <c r="O26" s="94"/>
      <c r="P26" s="95">
        <f t="shared" si="2"/>
        <v>614936</v>
      </c>
      <c r="Q26" s="98">
        <f>_xlfn.IFERROR(IF(D26="Private",'Parameters and Analysis'!$D$67*(VLOOKUP(A26,Data!A:DM,72,FALSE)/SUMIF(Data!$G$6:$G$30,"Private",Data!$BT$6:$BT$30)),IF(D26="NSGO",'Parameters and Analysis'!$D$68*(VLOOKUP(A26,Data!A:DM,72,FALSE)/SUMIF(Data!$G$6:$G$30,"NSGO",Data!$BT$6:$BT$30)),0)),0)</f>
        <v>2033951.119306752</v>
      </c>
      <c r="R26" s="98"/>
      <c r="S26" s="95">
        <f t="shared" si="0"/>
        <v>2033951.119306752</v>
      </c>
      <c r="T26" s="97">
        <f t="shared" si="1"/>
        <v>1419015.119306752</v>
      </c>
    </row>
    <row r="27" spans="1:20" ht="12.75">
      <c r="A27" s="85" t="s">
        <v>20</v>
      </c>
      <c r="B27" s="86">
        <f>_xlfn.IFERROR(VLOOKUP(A27,Data!A:BL,2,FALSE),"")</f>
        <v>1005540</v>
      </c>
      <c r="C27" s="87" t="str">
        <f>_xlfn.IFERROR(VLOOKUP(A27,Data!A:BL,3,FALSE),"")</f>
        <v>Alaska Psychiatric Institute</v>
      </c>
      <c r="D27" s="88" t="str">
        <f>_xlfn.IFERROR(VLOOKUP(A27,Data!A:DM,7,FALSE),"")</f>
        <v>SGO</v>
      </c>
      <c r="E27" s="43" t="s">
        <v>280</v>
      </c>
      <c r="F27" s="89" t="str">
        <f>VLOOKUP(E27,'Parameters and Analysis'!$A$29:$B$36,2,FALSE)</f>
        <v>Exempt</v>
      </c>
      <c r="G27" s="90">
        <f>VLOOKUP(A27,Data!A:DM,83,FALSE)</f>
        <v>0.10986355884025015</v>
      </c>
      <c r="H27" s="91">
        <f>VLOOKUP(A27,Data!A:DM,15,FALSE)</f>
        <v>80</v>
      </c>
      <c r="I27" s="60">
        <f>IF(F27="Exempt","",IF(G27&gt;'Parameters and Analysis'!$F$21,'Parameters and Analysis'!$A$21,IF(H27&lt;'Parameters and Analysis'!$F$22,'Parameters and Analysis'!$A$22,IF(E27="Critical Access Hospital",'Parameters and Analysis'!$A$23,IF(E27="Other",'Parameters and Analysis'!$A$24,'Parameters and Analysis'!$A$20)))))</f>
      </c>
      <c r="J27" s="92">
        <f>IF(F27="Exempt",0,_xlfn.IFERROR(VLOOKUP(I27,'Parameters and Analysis'!$A$20:$B$24,2,FALSE),1))</f>
        <v>0</v>
      </c>
      <c r="K27" s="92"/>
      <c r="L27" s="93">
        <f>ROUND(_xlfn.IFERROR(VLOOKUP(A27,Data!A:DM,$D$6,FALSE),0)*J27,0)</f>
        <v>0</v>
      </c>
      <c r="M27" s="93"/>
      <c r="N27" s="94">
        <f>IF($D$6=15,'Parameters and Analysis'!$B$14*L27,IF(OR($D$6=73,$D$6=74),'Parameters and Analysis'!$C$14*L27,IF(OR($D$6=79,$D$6=116),'Parameters and Analysis'!$D$14*L27,'Parameters and Analysis'!$E$14*L27)))</f>
        <v>0</v>
      </c>
      <c r="O27" s="94"/>
      <c r="P27" s="95">
        <f t="shared" si="2"/>
        <v>0</v>
      </c>
      <c r="Q27" s="98">
        <f>_xlfn.IFERROR(IF(D27="Private",'Parameters and Analysis'!$D$67*(VLOOKUP(A27,Data!A:DM,72,FALSE)/SUMIF(Data!$G$6:$G$30,"Private",Data!$BT$6:$BT$30)),IF(D27="NSGO",'Parameters and Analysis'!$D$68*(VLOOKUP(A27,Data!A:DM,72,FALSE)/SUMIF(Data!$G$6:$G$30,"NSGO",Data!$BT$6:$BT$30)),0)),0)</f>
        <v>0</v>
      </c>
      <c r="R27" s="98"/>
      <c r="S27" s="99">
        <f t="shared" si="0"/>
        <v>0</v>
      </c>
      <c r="T27" s="97">
        <f t="shared" si="1"/>
        <v>0</v>
      </c>
    </row>
    <row r="28" spans="1:20" ht="12.75">
      <c r="A28" s="85" t="s">
        <v>24</v>
      </c>
      <c r="B28" s="86">
        <f>_xlfn.IFERROR(VLOOKUP(A28,Data!A:BL,2,FALSE),"")</f>
        <v>1005573</v>
      </c>
      <c r="C28" s="87" t="str">
        <f>_xlfn.IFERROR(VLOOKUP(A28,Data!A:BL,3,FALSE),"")</f>
        <v>Yukon-Kuskokwim Regional</v>
      </c>
      <c r="D28" s="88" t="str">
        <f>_xlfn.IFERROR(VLOOKUP(A28,Data!A:DM,7,FALSE),"")</f>
        <v>Federal</v>
      </c>
      <c r="E28" s="43" t="s">
        <v>425</v>
      </c>
      <c r="F28" s="89" t="str">
        <f>VLOOKUP(E28,'Parameters and Analysis'!$A$29:$B$36,2,FALSE)</f>
        <v>Exempt</v>
      </c>
      <c r="G28" s="90">
        <f>VLOOKUP(A28,Data!A:DM,83,FALSE)</f>
        <v>0.7895863052781741</v>
      </c>
      <c r="H28" s="91">
        <f>VLOOKUP(A28,Data!A:DM,15,FALSE)</f>
        <v>34</v>
      </c>
      <c r="I28" s="60">
        <f>IF(F28="Exempt","",IF(G28&gt;'Parameters and Analysis'!$F$21,'Parameters and Analysis'!$A$21,IF(H28&lt;'Parameters and Analysis'!$F$22,'Parameters and Analysis'!$A$22,IF(E28="Critical Access Hospital",'Parameters and Analysis'!$A$23,IF(E28="Other",'Parameters and Analysis'!$A$24,'Parameters and Analysis'!$A$20)))))</f>
      </c>
      <c r="J28" s="92">
        <f>IF(F28="Exempt",0,_xlfn.IFERROR(VLOOKUP(I28,'Parameters and Analysis'!$A$20:$B$24,2,FALSE),1))</f>
        <v>0</v>
      </c>
      <c r="K28" s="92"/>
      <c r="L28" s="93">
        <f>ROUND(_xlfn.IFERROR(VLOOKUP(A28,Data!A:DM,$D$6,FALSE),0)*J28,0)</f>
        <v>0</v>
      </c>
      <c r="M28" s="93"/>
      <c r="N28" s="94">
        <f>IF($D$6=15,'Parameters and Analysis'!$B$14*L28,IF(OR($D$6=73,$D$6=74),'Parameters and Analysis'!$C$14*L28,IF(OR($D$6=79,$D$6=116),'Parameters and Analysis'!$D$14*L28,'Parameters and Analysis'!$E$14*L28)))</f>
        <v>0</v>
      </c>
      <c r="O28" s="94"/>
      <c r="P28" s="95">
        <f t="shared" si="2"/>
        <v>0</v>
      </c>
      <c r="Q28" s="98">
        <f>_xlfn.IFERROR(IF(D28="Private",'Parameters and Analysis'!$D$67*(VLOOKUP(A28,Data!A:DM,72,FALSE)/SUMIF(Data!$G$6:$G$30,"Private",Data!$BT$6:$BT$30)),IF(D28="NSGO",'Parameters and Analysis'!$D$68*(VLOOKUP(A28,Data!A:DM,72,FALSE)/SUMIF(Data!$G$6:$G$30,"NSGO",Data!$BT$6:$BT$30)),0)),0)</f>
        <v>0</v>
      </c>
      <c r="R28" s="98"/>
      <c r="S28" s="95">
        <f t="shared" si="0"/>
        <v>0</v>
      </c>
      <c r="T28" s="97">
        <f t="shared" si="1"/>
        <v>0</v>
      </c>
    </row>
    <row r="29" spans="1:20" ht="12.75">
      <c r="A29" s="85" t="s">
        <v>22</v>
      </c>
      <c r="B29" s="86">
        <f>_xlfn.IFERROR(VLOOKUP(A29,Data!A:BL,2,FALSE),"")</f>
        <v>1005643</v>
      </c>
      <c r="C29" s="87" t="str">
        <f>_xlfn.IFERROR(VLOOKUP(A29,Data!A:BL,3,FALSE),"")</f>
        <v>Alaska Native Medical Center</v>
      </c>
      <c r="D29" s="88" t="str">
        <f>_xlfn.IFERROR(VLOOKUP(A29,Data!A:DM,7,FALSE),"")</f>
        <v>Federal</v>
      </c>
      <c r="E29" s="43" t="s">
        <v>425</v>
      </c>
      <c r="F29" s="89" t="str">
        <f>VLOOKUP(E29,'Parameters and Analysis'!$A$29:$B$36,2,FALSE)</f>
        <v>Exempt</v>
      </c>
      <c r="G29" s="90">
        <f>VLOOKUP(A29,Data!A:DM,83,FALSE)</f>
        <v>0.39397995000126257</v>
      </c>
      <c r="H29" s="91">
        <f>VLOOKUP(A29,Data!A:DM,15,FALSE)</f>
        <v>152</v>
      </c>
      <c r="I29" s="60">
        <f>IF(F29="Exempt","",IF(G29&gt;'Parameters and Analysis'!$F$21,'Parameters and Analysis'!$A$21,IF(H29&lt;'Parameters and Analysis'!$F$22,'Parameters and Analysis'!$A$22,IF(E29="Critical Access Hospital",'Parameters and Analysis'!$A$23,IF(E29="Other",'Parameters and Analysis'!$A$24,'Parameters and Analysis'!$A$20)))))</f>
      </c>
      <c r="J29" s="92">
        <f>IF(F29="Exempt",0,_xlfn.IFERROR(VLOOKUP(I29,'Parameters and Analysis'!$A$20:$B$24,2,FALSE),1))</f>
        <v>0</v>
      </c>
      <c r="K29" s="92"/>
      <c r="L29" s="93">
        <f>ROUND(_xlfn.IFERROR(VLOOKUP(A29,Data!A:DM,$D$6,FALSE),0)*J29,0)</f>
        <v>0</v>
      </c>
      <c r="M29" s="93"/>
      <c r="N29" s="94">
        <f>IF($D$6=15,'Parameters and Analysis'!$B$14*L29,IF(OR($D$6=73,$D$6=74),'Parameters and Analysis'!$C$14*L29,IF(OR($D$6=79,$D$6=116),'Parameters and Analysis'!$D$14*L29,'Parameters and Analysis'!$E$14*L29)))</f>
        <v>0</v>
      </c>
      <c r="O29" s="94"/>
      <c r="P29" s="95">
        <f t="shared" si="2"/>
        <v>0</v>
      </c>
      <c r="Q29" s="98">
        <f>_xlfn.IFERROR(IF(D29="Private",'Parameters and Analysis'!$D$67*(VLOOKUP(A29,Data!A:DM,72,FALSE)/SUMIF(Data!$G$6:$G$30,"Private",Data!$BT$6:$BT$30)),IF(D29="NSGO",'Parameters and Analysis'!$D$68*(VLOOKUP(A29,Data!A:DM,72,FALSE)/SUMIF(Data!$G$6:$G$30,"NSGO",Data!$BT$6:$BT$30)),0)),0)</f>
        <v>0</v>
      </c>
      <c r="R29" s="98"/>
      <c r="S29" s="95">
        <f t="shared" si="0"/>
        <v>0</v>
      </c>
      <c r="T29" s="97">
        <f t="shared" si="1"/>
        <v>0</v>
      </c>
    </row>
    <row r="30" spans="1:20" ht="12.75">
      <c r="A30" s="85" t="s">
        <v>27</v>
      </c>
      <c r="B30" s="86">
        <f>_xlfn.IFERROR(VLOOKUP(A30,Data!A:BL,2,FALSE),"")</f>
        <v>1005604</v>
      </c>
      <c r="C30" s="87" t="str">
        <f>_xlfn.IFERROR(VLOOKUP(A30,Data!A:BL,3,FALSE),"")</f>
        <v>Mt. Edgecumbe/SEARHC</v>
      </c>
      <c r="D30" s="88" t="str">
        <f>_xlfn.IFERROR(VLOOKUP(A30,Data!A:DM,7,FALSE),"")</f>
        <v>Federal</v>
      </c>
      <c r="E30" s="43" t="s">
        <v>425</v>
      </c>
      <c r="F30" s="89" t="str">
        <f>VLOOKUP(E30,'Parameters and Analysis'!$A$29:$B$36,2,FALSE)</f>
        <v>Exempt</v>
      </c>
      <c r="G30" s="90">
        <f>VLOOKUP(A30,Data!A:DM,83,FALSE)</f>
        <v>0.2319634703196347</v>
      </c>
      <c r="H30" s="91">
        <f>VLOOKUP(A30,Data!A:DM,15,FALSE)</f>
        <v>27</v>
      </c>
      <c r="I30" s="60">
        <f>IF(F30="Exempt","",IF(G30&gt;'Parameters and Analysis'!$F$21,'Parameters and Analysis'!$A$21,IF(H30&lt;'Parameters and Analysis'!$F$22,'Parameters and Analysis'!$A$22,IF(E30="Critical Access Hospital",'Parameters and Analysis'!$A$23,IF(E30="Other",'Parameters and Analysis'!$A$24,'Parameters and Analysis'!$A$20)))))</f>
      </c>
      <c r="J30" s="92">
        <f>IF(F30="Exempt",0,_xlfn.IFERROR(VLOOKUP(I30,'Parameters and Analysis'!$A$20:$B$24,2,FALSE),1))</f>
        <v>0</v>
      </c>
      <c r="K30" s="92"/>
      <c r="L30" s="93">
        <f>ROUND(_xlfn.IFERROR(VLOOKUP(A30,Data!A:DM,$D$6,FALSE),0)*J30,0)</f>
        <v>0</v>
      </c>
      <c r="M30" s="93"/>
      <c r="N30" s="94">
        <f>IF($D$6=15,'Parameters and Analysis'!$B$14*L30,IF(OR($D$6=73,$D$6=74),'Parameters and Analysis'!$C$14*L30,IF(OR($D$6=79,$D$6=116),'Parameters and Analysis'!$D$14*L30,'Parameters and Analysis'!$E$14*L30)))</f>
        <v>0</v>
      </c>
      <c r="O30" s="94"/>
      <c r="P30" s="95">
        <f t="shared" si="2"/>
        <v>0</v>
      </c>
      <c r="Q30" s="98">
        <f>_xlfn.IFERROR(IF(D30="Private",'Parameters and Analysis'!$D$67*(VLOOKUP(A30,Data!A:DM,72,FALSE)/SUMIF(Data!$G$6:$G$30,"Private",Data!$BT$6:$BT$30)),IF(D30="NSGO",'Parameters and Analysis'!$D$68*(VLOOKUP(A30,Data!A:DM,72,FALSE)/SUMIF(Data!$G$6:$G$30,"NSGO",Data!$BT$6:$BT$30)),0)),0)</f>
        <v>0</v>
      </c>
      <c r="R30" s="98"/>
      <c r="S30" s="99">
        <f t="shared" si="0"/>
        <v>0</v>
      </c>
      <c r="T30" s="97">
        <f t="shared" si="1"/>
        <v>0</v>
      </c>
    </row>
    <row r="31" spans="1:20" ht="12.75">
      <c r="A31" s="85" t="s">
        <v>28</v>
      </c>
      <c r="B31" s="86">
        <f>_xlfn.IFERROR(VLOOKUP(A31,Data!A:BL,2,FALSE),"")</f>
        <v>1005753</v>
      </c>
      <c r="C31" s="87" t="str">
        <f>_xlfn.IFERROR(VLOOKUP(A31,Data!A:BL,3,FALSE),"")</f>
        <v>Norton Sound Regional Hospital</v>
      </c>
      <c r="D31" s="88" t="str">
        <f>_xlfn.IFERROR(VLOOKUP(A31,Data!A:DM,7,FALSE),"")</f>
        <v>Federal</v>
      </c>
      <c r="E31" s="43" t="s">
        <v>425</v>
      </c>
      <c r="F31" s="89" t="str">
        <f>VLOOKUP(E31,'Parameters and Analysis'!$A$29:$B$36,2,FALSE)</f>
        <v>Exempt</v>
      </c>
      <c r="G31" s="90">
        <f>VLOOKUP(A31,Data!A:DM,83,FALSE)</f>
        <v>0.3939751919669226</v>
      </c>
      <c r="H31" s="91">
        <f>VLOOKUP(A31,Data!A:DM,15,FALSE)</f>
        <v>18</v>
      </c>
      <c r="I31" s="60">
        <f>IF(F31="Exempt","",IF(G31&gt;'Parameters and Analysis'!$F$21,'Parameters and Analysis'!$A$21,IF(H31&lt;'Parameters and Analysis'!$F$22,'Parameters and Analysis'!$A$22,IF(E31="Critical Access Hospital",'Parameters and Analysis'!$A$23,IF(E31="Other",'Parameters and Analysis'!$A$24,'Parameters and Analysis'!$A$20)))))</f>
      </c>
      <c r="J31" s="92">
        <f>IF(F31="Exempt",0,_xlfn.IFERROR(VLOOKUP(I31,'Parameters and Analysis'!$A$20:$B$24,2,FALSE),1))</f>
        <v>0</v>
      </c>
      <c r="K31" s="92"/>
      <c r="L31" s="93">
        <f>ROUND(_xlfn.IFERROR(VLOOKUP(A31,Data!A:DM,$D$6,FALSE),0)*J31,0)</f>
        <v>0</v>
      </c>
      <c r="M31" s="93"/>
      <c r="N31" s="94">
        <f>IF($D$6=15,'Parameters and Analysis'!$B$14*L31,IF(OR($D$6=73,$D$6=74),'Parameters and Analysis'!$C$14*L31,IF(OR($D$6=79,$D$6=116),'Parameters and Analysis'!$D$14*L31,'Parameters and Analysis'!$E$14*L31)))</f>
        <v>0</v>
      </c>
      <c r="O31" s="94"/>
      <c r="P31" s="95">
        <f t="shared" si="2"/>
        <v>0</v>
      </c>
      <c r="Q31" s="98">
        <f>_xlfn.IFERROR(IF(D31="Private",'Parameters and Analysis'!$D$67*(VLOOKUP(A31,Data!A:DM,72,FALSE)/SUMIF(Data!$G$6:$G$30,"Private",Data!$BT$6:$BT$30)),IF(D31="NSGO",'Parameters and Analysis'!$D$68*(VLOOKUP(A31,Data!A:DM,72,FALSE)/SUMIF(Data!$G$6:$G$30,"NSGO",Data!$BT$6:$BT$30)),0)),0)</f>
        <v>0</v>
      </c>
      <c r="R31" s="98"/>
      <c r="S31" s="99">
        <f t="shared" si="0"/>
        <v>0</v>
      </c>
      <c r="T31" s="97">
        <f t="shared" si="1"/>
        <v>0</v>
      </c>
    </row>
    <row r="32" spans="1:20" ht="12.75">
      <c r="A32" s="85" t="s">
        <v>25</v>
      </c>
      <c r="B32" s="86">
        <f>_xlfn.IFERROR(VLOOKUP(A32,Data!A:BL,2,FALSE),"")</f>
        <v>1005794</v>
      </c>
      <c r="C32" s="87" t="str">
        <f>_xlfn.IFERROR(VLOOKUP(A32,Data!A:BL,3,FALSE),"")</f>
        <v>Bristol Bay/Kanakanak</v>
      </c>
      <c r="D32" s="88" t="str">
        <f>_xlfn.IFERROR(VLOOKUP(A32,Data!A:DM,7,FALSE),"")</f>
        <v>Federal</v>
      </c>
      <c r="E32" s="43" t="s">
        <v>425</v>
      </c>
      <c r="F32" s="89" t="str">
        <f>VLOOKUP(E32,'Parameters and Analysis'!$A$29:$B$36,2,FALSE)</f>
        <v>Exempt</v>
      </c>
      <c r="G32" s="90">
        <f>VLOOKUP(A32,Data!A:DM,83,FALSE)</f>
        <v>0.14391143911439117</v>
      </c>
      <c r="H32" s="91">
        <f>VLOOKUP(A32,Data!A:DM,15,FALSE)</f>
        <v>16</v>
      </c>
      <c r="I32" s="60">
        <f>IF(F32="Exempt","",IF(G32&gt;'Parameters and Analysis'!$F$21,'Parameters and Analysis'!$A$21,IF(H32&lt;'Parameters and Analysis'!$F$22,'Parameters and Analysis'!$A$22,IF(E32="Critical Access Hospital",'Parameters and Analysis'!$A$23,IF(E32="Other",'Parameters and Analysis'!$A$24,'Parameters and Analysis'!$A$20)))))</f>
      </c>
      <c r="J32" s="92">
        <f>IF(F32="Exempt",0,_xlfn.IFERROR(VLOOKUP(I32,'Parameters and Analysis'!$A$20:$B$24,2,FALSE),1))</f>
        <v>0</v>
      </c>
      <c r="K32" s="92"/>
      <c r="L32" s="93">
        <f>ROUND(_xlfn.IFERROR(VLOOKUP(A32,Data!A:DM,$D$6,FALSE),0)*J32,0)</f>
        <v>0</v>
      </c>
      <c r="M32" s="93"/>
      <c r="N32" s="94">
        <f>IF($D$6=15,'Parameters and Analysis'!$B$14*L32,IF(OR($D$6=73,$D$6=74),'Parameters and Analysis'!$C$14*L32,IF(OR($D$6=79,$D$6=116),'Parameters and Analysis'!$D$14*L32,'Parameters and Analysis'!$E$14*L32)))</f>
        <v>0</v>
      </c>
      <c r="O32" s="94"/>
      <c r="P32" s="95">
        <f t="shared" si="2"/>
        <v>0</v>
      </c>
      <c r="Q32" s="98">
        <f>_xlfn.IFERROR(IF(D32="Private",'Parameters and Analysis'!$D$67*(VLOOKUP(A32,Data!A:DM,72,FALSE)/SUMIF(Data!$G$6:$G$30,"Private",Data!$BT$6:$BT$30)),IF(D32="NSGO",'Parameters and Analysis'!$D$68*(VLOOKUP(A32,Data!A:DM,72,FALSE)/SUMIF(Data!$G$6:$G$30,"NSGO",Data!$BT$6:$BT$30)),0)),0)</f>
        <v>0</v>
      </c>
      <c r="R32" s="98"/>
      <c r="S32" s="95">
        <f t="shared" si="0"/>
        <v>0</v>
      </c>
      <c r="T32" s="97">
        <f t="shared" si="1"/>
        <v>0</v>
      </c>
    </row>
    <row r="33" spans="1:20" ht="12.75">
      <c r="A33" s="85" t="s">
        <v>26</v>
      </c>
      <c r="B33" s="86">
        <f>_xlfn.IFERROR(VLOOKUP(A33,Data!A:BL,2,FALSE),"")</f>
        <v>1005681</v>
      </c>
      <c r="C33" s="87" t="str">
        <f>_xlfn.IFERROR(VLOOKUP(A33,Data!A:BL,3,FALSE),"")</f>
        <v>Maniilaq Medical Health Center</v>
      </c>
      <c r="D33" s="88" t="str">
        <f>_xlfn.IFERROR(VLOOKUP(A33,Data!A:DM,7,FALSE),"")</f>
        <v>Federal</v>
      </c>
      <c r="E33" s="43" t="s">
        <v>425</v>
      </c>
      <c r="F33" s="89" t="str">
        <f>VLOOKUP(E33,'Parameters and Analysis'!$A$29:$B$36,2,FALSE)</f>
        <v>Exempt</v>
      </c>
      <c r="G33" s="90">
        <f>VLOOKUP(A33,Data!A:DM,83,FALSE)</f>
        <v>0.29817444219066935</v>
      </c>
      <c r="H33" s="91">
        <f>VLOOKUP(A33,Data!A:DM,15,FALSE)</f>
        <v>17</v>
      </c>
      <c r="I33" s="60">
        <f>IF(F33="Exempt","",IF(G33&gt;'Parameters and Analysis'!$F$21,'Parameters and Analysis'!$A$21,IF(H33&lt;'Parameters and Analysis'!$F$22,'Parameters and Analysis'!$A$22,IF(E33="Critical Access Hospital",'Parameters and Analysis'!$A$23,IF(E33="Other",'Parameters and Analysis'!$A$24,'Parameters and Analysis'!$A$20)))))</f>
      </c>
      <c r="J33" s="92">
        <f>IF(F33="Exempt",0,_xlfn.IFERROR(VLOOKUP(I33,'Parameters and Analysis'!$A$20:$B$24,2,FALSE),1))</f>
        <v>0</v>
      </c>
      <c r="K33" s="92"/>
      <c r="L33" s="93">
        <f>ROUND(_xlfn.IFERROR(VLOOKUP(A33,Data!A:DM,$D$6,FALSE),0)*J33,0)</f>
        <v>0</v>
      </c>
      <c r="M33" s="93"/>
      <c r="N33" s="94">
        <f>IF($D$6=15,'Parameters and Analysis'!$B$14*L33,IF(OR($D$6=73,$D$6=74),'Parameters and Analysis'!$C$14*L33,IF(OR($D$6=79,$D$6=116),'Parameters and Analysis'!$D$14*L33,'Parameters and Analysis'!$E$14*L33)))</f>
        <v>0</v>
      </c>
      <c r="O33" s="94"/>
      <c r="P33" s="95">
        <f t="shared" si="2"/>
        <v>0</v>
      </c>
      <c r="Q33" s="98">
        <f>_xlfn.IFERROR(IF(D33="Private",'Parameters and Analysis'!$D$67*(VLOOKUP(A33,Data!A:DM,72,FALSE)/SUMIF(Data!$G$6:$G$30,"Private",Data!$BT$6:$BT$30)),IF(D33="NSGO",'Parameters and Analysis'!$D$68*(VLOOKUP(A33,Data!A:DM,72,FALSE)/SUMIF(Data!$G$6:$G$30,"NSGO",Data!$BT$6:$BT$30)),0)),0)</f>
        <v>0</v>
      </c>
      <c r="R33" s="98"/>
      <c r="S33" s="95">
        <f t="shared" si="0"/>
        <v>0</v>
      </c>
      <c r="T33" s="97">
        <f t="shared" si="1"/>
        <v>0</v>
      </c>
    </row>
    <row r="34" spans="1:20" ht="12.75">
      <c r="A34" s="85" t="s">
        <v>23</v>
      </c>
      <c r="B34" s="86">
        <f>_xlfn.IFERROR(VLOOKUP(A34,Data!A:BL,2,FALSE),"")</f>
        <v>1005774</v>
      </c>
      <c r="C34" s="87" t="str">
        <f>_xlfn.IFERROR(VLOOKUP(A34,Data!A:BL,3,FALSE),"")</f>
        <v>Samuel Simmonds Memorial Hospital</v>
      </c>
      <c r="D34" s="88" t="str">
        <f>_xlfn.IFERROR(VLOOKUP(A34,Data!A:DM,7,FALSE),"")</f>
        <v>Federal</v>
      </c>
      <c r="E34" s="43" t="s">
        <v>425</v>
      </c>
      <c r="F34" s="89" t="str">
        <f>VLOOKUP(E34,'Parameters and Analysis'!$A$29:$B$36,2,FALSE)</f>
        <v>Exempt</v>
      </c>
      <c r="G34" s="90">
        <f>VLOOKUP(A34,Data!A:DM,83,FALSE)</f>
        <v>0</v>
      </c>
      <c r="H34" s="91">
        <f>VLOOKUP(A34,Data!A:DM,15,FALSE)</f>
        <v>20</v>
      </c>
      <c r="I34" s="60">
        <f>IF(F34="Exempt","",IF(G34&gt;'Parameters and Analysis'!$F$21,'Parameters and Analysis'!$A$21,IF(H34&lt;'Parameters and Analysis'!$F$22,'Parameters and Analysis'!$A$22,IF(E34="Critical Access Hospital",'Parameters and Analysis'!$A$23,IF(E34="Other",'Parameters and Analysis'!$A$24,'Parameters and Analysis'!$A$20)))))</f>
      </c>
      <c r="J34" s="92">
        <f>IF(F34="Exempt",0,_xlfn.IFERROR(VLOOKUP(I34,'Parameters and Analysis'!$A$20:$B$24,2,FALSE),1))</f>
        <v>0</v>
      </c>
      <c r="K34" s="92"/>
      <c r="L34" s="100">
        <f>ROUND(_xlfn.IFERROR(VLOOKUP(A34,Data!A:DM,$D$6,FALSE),0)*J34,0)</f>
        <v>0</v>
      </c>
      <c r="M34" s="100"/>
      <c r="N34" s="101">
        <f>IF($D$6=15,'Parameters and Analysis'!$B$14*L34,IF(OR($D$6=73,$D$6=74),'Parameters and Analysis'!$C$14*L34,IF(OR($D$6=79,$D$6=116),'Parameters and Analysis'!$D$14*L34,'Parameters and Analysis'!$E$14*L34)))</f>
        <v>0</v>
      </c>
      <c r="O34" s="101"/>
      <c r="P34" s="102">
        <f t="shared" si="2"/>
        <v>0</v>
      </c>
      <c r="Q34" s="103">
        <f>_xlfn.IFERROR(IF(D34="Private",'Parameters and Analysis'!$D$67*(VLOOKUP(A34,Data!A:DM,72,FALSE)/SUMIF(Data!$G$6:$G$30,"Private",Data!$BT$6:$BT$30)),IF(D34="NSGO",'Parameters and Analysis'!$D$68*(VLOOKUP(A34,Data!A:DM,72,FALSE)/SUMIF(Data!$G$6:$G$30,"NSGO",Data!$BT$6:$BT$30)),0)),0)</f>
        <v>0</v>
      </c>
      <c r="R34" s="103"/>
      <c r="S34" s="102">
        <f t="shared" si="0"/>
        <v>0</v>
      </c>
      <c r="T34" s="104">
        <f t="shared" si="1"/>
        <v>0</v>
      </c>
    </row>
    <row r="35" spans="12:20" ht="12.75">
      <c r="L35" s="93">
        <f aca="true" t="shared" si="3" ref="L35:T35">SUM(L10:L34)</f>
        <v>195165</v>
      </c>
      <c r="M35" s="93"/>
      <c r="N35" s="94">
        <f t="shared" si="3"/>
        <v>5464620</v>
      </c>
      <c r="O35" s="94"/>
      <c r="P35" s="95">
        <f t="shared" si="3"/>
        <v>5464620</v>
      </c>
      <c r="Q35" s="105">
        <f t="shared" si="3"/>
        <v>9617731.000000002</v>
      </c>
      <c r="R35" s="105"/>
      <c r="S35" s="95">
        <f t="shared" si="3"/>
        <v>9617731.000000002</v>
      </c>
      <c r="T35" s="97">
        <f t="shared" si="3"/>
        <v>4153111.000000001</v>
      </c>
    </row>
    <row r="36" spans="1:20" ht="12.75" thickBot="1">
      <c r="A36" s="106"/>
      <c r="B36" s="106"/>
      <c r="C36" s="106"/>
      <c r="D36" s="106"/>
      <c r="E36" s="106"/>
      <c r="F36" s="106"/>
      <c r="N36" s="94"/>
      <c r="O36" s="94"/>
      <c r="P36" s="94"/>
      <c r="Q36" s="94"/>
      <c r="R36" s="94"/>
      <c r="S36" s="94"/>
      <c r="T36" s="94"/>
    </row>
    <row r="37" spans="1:8" ht="12">
      <c r="A37" s="107" t="s">
        <v>326</v>
      </c>
      <c r="B37" s="108"/>
      <c r="C37" s="108"/>
      <c r="D37" s="108"/>
      <c r="E37" s="108"/>
      <c r="F37" s="108"/>
      <c r="G37" s="109"/>
      <c r="H37" s="110"/>
    </row>
    <row r="38" spans="1:13" ht="12.75">
      <c r="A38" s="111" t="s">
        <v>321</v>
      </c>
      <c r="B38" s="112"/>
      <c r="C38" s="112"/>
      <c r="D38" s="112"/>
      <c r="E38" s="112"/>
      <c r="F38" s="112"/>
      <c r="G38" s="113"/>
      <c r="H38" s="114"/>
      <c r="L38" s="115" t="s">
        <v>386</v>
      </c>
      <c r="M38" s="116"/>
    </row>
    <row r="39" spans="1:13" ht="12.75">
      <c r="A39" s="111" t="s">
        <v>348</v>
      </c>
      <c r="B39" s="112"/>
      <c r="C39" s="112"/>
      <c r="D39" s="112"/>
      <c r="E39" s="112"/>
      <c r="F39" s="112"/>
      <c r="G39" s="113"/>
      <c r="H39" s="114"/>
      <c r="L39" s="117" t="s">
        <v>387</v>
      </c>
      <c r="M39" s="116"/>
    </row>
    <row r="40" spans="1:20" ht="12">
      <c r="A40" s="111" t="s">
        <v>322</v>
      </c>
      <c r="B40" s="112"/>
      <c r="C40" s="112"/>
      <c r="D40" s="112"/>
      <c r="E40" s="112"/>
      <c r="F40" s="112"/>
      <c r="G40" s="113"/>
      <c r="H40" s="114"/>
      <c r="J40" s="118" t="s">
        <v>116</v>
      </c>
      <c r="L40" s="119">
        <f>SUMIF(Data!$G$6:$G$30,"Private",Data!$BT$6:$BT$30)</f>
        <v>58161</v>
      </c>
      <c r="M40" s="120"/>
      <c r="N40" s="120">
        <f>SUMIF($D$10:$D$34,$J40,N$10:N$34)</f>
        <v>4844000</v>
      </c>
      <c r="O40" s="120"/>
      <c r="P40" s="120">
        <f aca="true" t="shared" si="4" ref="P40:Q43">SUMIF($D$10:$D$34,$J40,P$10:P$34)</f>
        <v>4844000</v>
      </c>
      <c r="Q40" s="120">
        <f t="shared" si="4"/>
        <v>5387650</v>
      </c>
      <c r="R40" s="120"/>
      <c r="S40" s="120">
        <f aca="true" t="shared" si="5" ref="S40:T43">SUMIF($D$10:$D$34,$J40,S$10:S$34)</f>
        <v>5387650</v>
      </c>
      <c r="T40" s="120">
        <f t="shared" si="5"/>
        <v>543650.0000000003</v>
      </c>
    </row>
    <row r="41" spans="1:20" ht="12">
      <c r="A41" s="111"/>
      <c r="B41" s="112"/>
      <c r="C41" s="112"/>
      <c r="D41" s="112"/>
      <c r="E41" s="112"/>
      <c r="F41" s="112"/>
      <c r="G41" s="113"/>
      <c r="H41" s="114"/>
      <c r="J41" s="118" t="s">
        <v>117</v>
      </c>
      <c r="L41" s="120">
        <f>SUMIF(Data!$G$6:$G$30,"NSGO",Data!$BT$6:$BT$30)</f>
        <v>5164</v>
      </c>
      <c r="M41" s="120"/>
      <c r="N41" s="120">
        <f>SUMIF($D$10:$D$34,$J41,N$10:N$34)</f>
        <v>620620</v>
      </c>
      <c r="O41" s="120"/>
      <c r="P41" s="120">
        <f t="shared" si="4"/>
        <v>620620</v>
      </c>
      <c r="Q41" s="120">
        <f t="shared" si="4"/>
        <v>4230081</v>
      </c>
      <c r="R41" s="120"/>
      <c r="S41" s="120">
        <f t="shared" si="5"/>
        <v>4230081</v>
      </c>
      <c r="T41" s="120">
        <f t="shared" si="5"/>
        <v>3609461</v>
      </c>
    </row>
    <row r="42" spans="1:20" ht="12">
      <c r="A42" s="111"/>
      <c r="B42" s="112"/>
      <c r="C42" s="112"/>
      <c r="D42" s="112"/>
      <c r="E42" s="112"/>
      <c r="F42" s="112"/>
      <c r="G42" s="113"/>
      <c r="H42" s="114"/>
      <c r="J42" s="118" t="s">
        <v>115</v>
      </c>
      <c r="L42" s="120">
        <f>SUMIF($D$10:$D$34,$J42,L$10:L$34)</f>
        <v>0</v>
      </c>
      <c r="M42" s="120"/>
      <c r="N42" s="120">
        <f>SUMIF($D$10:$D$34,$J42,N$10:N$34)</f>
        <v>0</v>
      </c>
      <c r="O42" s="120"/>
      <c r="P42" s="120">
        <f t="shared" si="4"/>
        <v>0</v>
      </c>
      <c r="Q42" s="120">
        <f t="shared" si="4"/>
        <v>0</v>
      </c>
      <c r="R42" s="120"/>
      <c r="S42" s="120">
        <f t="shared" si="5"/>
        <v>0</v>
      </c>
      <c r="T42" s="120">
        <f t="shared" si="5"/>
        <v>0</v>
      </c>
    </row>
    <row r="43" spans="1:20" ht="13.5">
      <c r="A43" s="111"/>
      <c r="B43" s="112"/>
      <c r="C43" s="112" t="s">
        <v>357</v>
      </c>
      <c r="D43" s="112"/>
      <c r="E43" s="121">
        <f>VLOOKUP(A10,Data!A:DM,72,FALSE)</f>
        <v>24573</v>
      </c>
      <c r="F43" s="112"/>
      <c r="G43" s="113"/>
      <c r="H43" s="114"/>
      <c r="J43" s="118" t="s">
        <v>137</v>
      </c>
      <c r="L43" s="122">
        <f>SUMIF($D$10:$D$34,$J43,L$10:L$34)</f>
        <v>0</v>
      </c>
      <c r="M43" s="122"/>
      <c r="N43" s="122">
        <f>SUMIF($D$10:$D$34,$J43,N$10:N$34)</f>
        <v>0</v>
      </c>
      <c r="O43" s="122"/>
      <c r="P43" s="122">
        <f t="shared" si="4"/>
        <v>0</v>
      </c>
      <c r="Q43" s="122">
        <f t="shared" si="4"/>
        <v>0</v>
      </c>
      <c r="R43" s="122"/>
      <c r="S43" s="122">
        <f t="shared" si="5"/>
        <v>0</v>
      </c>
      <c r="T43" s="122">
        <f t="shared" si="5"/>
        <v>0</v>
      </c>
    </row>
    <row r="44" spans="1:20" ht="13.5">
      <c r="A44" s="111"/>
      <c r="B44" s="112"/>
      <c r="C44" s="112" t="s">
        <v>424</v>
      </c>
      <c r="D44" s="112"/>
      <c r="E44" s="121">
        <f>L40</f>
        <v>58161</v>
      </c>
      <c r="F44" s="112"/>
      <c r="G44" s="113"/>
      <c r="H44" s="114"/>
      <c r="L44" s="123">
        <f aca="true" t="shared" si="6" ref="L44:T44">SUM(L40:L43)</f>
        <v>63325</v>
      </c>
      <c r="M44" s="123"/>
      <c r="N44" s="123">
        <f t="shared" si="6"/>
        <v>5464620</v>
      </c>
      <c r="O44" s="123"/>
      <c r="P44" s="123">
        <f t="shared" si="6"/>
        <v>5464620</v>
      </c>
      <c r="Q44" s="123">
        <f t="shared" si="6"/>
        <v>9617731</v>
      </c>
      <c r="R44" s="123"/>
      <c r="S44" s="123">
        <f t="shared" si="6"/>
        <v>9617731</v>
      </c>
      <c r="T44" s="123">
        <f t="shared" si="6"/>
        <v>4153111.0000000005</v>
      </c>
    </row>
    <row r="45" spans="1:8" ht="12">
      <c r="A45" s="111"/>
      <c r="B45" s="112"/>
      <c r="C45" s="112" t="s">
        <v>329</v>
      </c>
      <c r="D45" s="112"/>
      <c r="E45" s="124">
        <f>E43/E44</f>
        <v>0.4224996131428277</v>
      </c>
      <c r="F45" s="112"/>
      <c r="G45" s="113"/>
      <c r="H45" s="114"/>
    </row>
    <row r="46" spans="1:8" ht="12">
      <c r="A46" s="111"/>
      <c r="B46" s="112"/>
      <c r="C46" s="112" t="s">
        <v>323</v>
      </c>
      <c r="D46" s="112"/>
      <c r="E46" s="125">
        <f>'Parameters and Analysis'!D67</f>
        <v>5387650</v>
      </c>
      <c r="F46" s="112"/>
      <c r="G46" s="113"/>
      <c r="H46" s="114"/>
    </row>
    <row r="47" spans="1:8" ht="12.75" thickBot="1">
      <c r="A47" s="126"/>
      <c r="B47" s="127"/>
      <c r="C47" s="127" t="s">
        <v>324</v>
      </c>
      <c r="D47" s="127"/>
      <c r="E47" s="128">
        <f>E46*E45</f>
        <v>2276280.0407489557</v>
      </c>
      <c r="F47" s="127"/>
      <c r="G47" s="129"/>
      <c r="H47" s="130"/>
    </row>
    <row r="50" ht="13.5" hidden="1" thickBot="1"/>
    <row r="51" spans="1:20" ht="13.5" hidden="1" thickBot="1">
      <c r="A51" s="131"/>
      <c r="B51" s="132"/>
      <c r="C51" s="133" t="s">
        <v>338</v>
      </c>
      <c r="D51" s="132"/>
      <c r="E51" s="134"/>
      <c r="F51" s="132"/>
      <c r="G51" s="132"/>
      <c r="H51" s="132"/>
      <c r="I51" s="132"/>
      <c r="J51" s="132"/>
      <c r="K51" s="132"/>
      <c r="L51" s="135">
        <f aca="true" t="shared" si="7" ref="L51:Q51">_xlfn.IFERROR(_xlfn.AVERAGEIF((L10:L34),"&gt;0"),0)</f>
        <v>11480.29411764706</v>
      </c>
      <c r="M51" s="135"/>
      <c r="N51" s="136">
        <f t="shared" si="7"/>
        <v>321448.23529411765</v>
      </c>
      <c r="O51" s="136"/>
      <c r="P51" s="137">
        <f t="shared" si="7"/>
        <v>321448.23529411765</v>
      </c>
      <c r="Q51" s="136">
        <f t="shared" si="7"/>
        <v>565748.8823529413</v>
      </c>
      <c r="R51" s="136"/>
      <c r="S51" s="137">
        <f>_xlfn.IFERROR(_xlfn.AVERAGEIF((S10:S34),"&lt;&gt;0"),0)</f>
        <v>565748.8823529413</v>
      </c>
      <c r="T51" s="138">
        <f>_xlfn.IFERROR(_xlfn.AVERAGEIF((T10:T34),"&lt;&gt;0"),0)</f>
        <v>244300.64705882358</v>
      </c>
    </row>
    <row r="52" spans="1:20" ht="13.5" hidden="1" thickBot="1">
      <c r="A52" s="139" t="s">
        <v>332</v>
      </c>
      <c r="B52" s="140">
        <v>1001111</v>
      </c>
      <c r="C52" s="141" t="s">
        <v>347</v>
      </c>
      <c r="D52" s="142" t="s">
        <v>116</v>
      </c>
      <c r="E52" s="143" t="s">
        <v>53</v>
      </c>
      <c r="F52" s="144" t="str">
        <f>VLOOKUP(E52,'Parameters and Analysis'!$A$29:$B$36,2,FALSE)</f>
        <v>Included</v>
      </c>
      <c r="G52" s="145">
        <v>0.3</v>
      </c>
      <c r="H52" s="146">
        <v>100</v>
      </c>
      <c r="I52" s="147" t="str">
        <f>IF(F52="Exempt","",IF(G52&gt;'Parameters and Analysis'!$F$21,'Parameters and Analysis'!$A$21,IF(H52&lt;'Parameters and Analysis'!$F$22,'Parameters and Analysis'!$A$22,IF(E52="Critical Access Hospital",'Parameters and Analysis'!$A$23,IF(E52="Other",'Parameters and Analysis'!$A$24,'Parameters and Analysis'!$A$20)))))</f>
        <v>High Medicaid</v>
      </c>
      <c r="J52" s="148">
        <f>IF(F52="Exempt",0,_xlfn.IFERROR(VLOOKUP(I52,'Parameters and Analysis'!$A$20:$B$24,2,FALSE),1))</f>
        <v>0.75</v>
      </c>
      <c r="K52" s="148"/>
      <c r="L52" s="149">
        <f>ROUND(_xlfn.IFERROR(VLOOKUP(A52,Data!A:DM,$D$6,FALSE),0)*J52,0)</f>
        <v>33750</v>
      </c>
      <c r="M52" s="149"/>
      <c r="N52" s="150">
        <f>IF($D$6=15,'Parameters and Analysis'!$B$14*L52,IF(OR($D$6=73,$D$6=74),'Parameters and Analysis'!$C$14*L52,IF(OR($D$6=79,$D$6=116),'Parameters and Analysis'!$D$14*L52,'Parameters and Analysis'!$E$14*L52)))</f>
        <v>945000</v>
      </c>
      <c r="O52" s="150"/>
      <c r="P52" s="151">
        <f>SUM(N52:O52)</f>
        <v>945000</v>
      </c>
      <c r="Q52" s="152">
        <f>_xlfn.IFERROR(IF(D52="Private",'Parameters and Analysis'!$D$67*(VLOOKUP(A52,Data!A:CN,72,FALSE)/SUMIF(Data!$G$6:$G$30,"Private",Data!$BT$6:$BT$30)),IF(D52="NSGO",'Parameters and Analysis'!$D$68*(VLOOKUP(A52,Data!A:CN,72,FALSE)/SUMIF(Data!$G$6:$G$30,"NSGO",Data!$BT$6:$BT$30)),0)),0)</f>
        <v>1018967.1773181341</v>
      </c>
      <c r="R52" s="152"/>
      <c r="S52" s="151">
        <f>SUM(Q52:R52)</f>
        <v>1018967.1773181341</v>
      </c>
      <c r="T52" s="153">
        <f>S52-P52</f>
        <v>73967.17731813411</v>
      </c>
    </row>
    <row r="53" spans="1:20" ht="13.5" hidden="1" thickBot="1">
      <c r="A53" s="139" t="s">
        <v>333</v>
      </c>
      <c r="B53" s="140">
        <v>1002222</v>
      </c>
      <c r="C53" s="141" t="s">
        <v>353</v>
      </c>
      <c r="D53" s="142" t="s">
        <v>116</v>
      </c>
      <c r="E53" s="143" t="s">
        <v>53</v>
      </c>
      <c r="F53" s="144" t="str">
        <f>VLOOKUP(E53,'Parameters and Analysis'!$A$29:$B$36,2,FALSE)</f>
        <v>Included</v>
      </c>
      <c r="G53" s="145">
        <v>0.15</v>
      </c>
      <c r="H53" s="146">
        <v>70</v>
      </c>
      <c r="I53" s="147" t="str">
        <f>IF(F53="Exempt","",IF(G53&gt;'Parameters and Analysis'!$F$21,'Parameters and Analysis'!$A$21,IF(H53&lt;'Parameters and Analysis'!$F$22,'Parameters and Analysis'!$A$22,IF(E53="Critical Access Hospital",'Parameters and Analysis'!$A$23,IF(E53="Other",'Parameters and Analysis'!$A$24,'Parameters and Analysis'!$A$20)))))</f>
        <v>General</v>
      </c>
      <c r="J53" s="148">
        <f>IF(F53="Exempt",0,_xlfn.IFERROR(VLOOKUP(I53,'Parameters and Analysis'!$A$20:$B$24,2,FALSE),1))</f>
        <v>1</v>
      </c>
      <c r="K53" s="148"/>
      <c r="L53" s="149">
        <f>ROUND(_xlfn.IFERROR(VLOOKUP(A53,Data!A:DM,$D$6,FALSE),0)*J53,0)</f>
        <v>10000</v>
      </c>
      <c r="M53" s="149"/>
      <c r="N53" s="150">
        <f>IF($D$6=15,'Parameters and Analysis'!$B$14*L53,IF(OR($D$6=73,$D$6=74),'Parameters and Analysis'!$C$14*L53,IF(OR($D$6=79,$D$6=116),'Parameters and Analysis'!$D$14*L53,'Parameters and Analysis'!$E$14*L53)))</f>
        <v>280000</v>
      </c>
      <c r="O53" s="150"/>
      <c r="P53" s="151">
        <f>SUM(N53:O53)</f>
        <v>280000</v>
      </c>
      <c r="Q53" s="152">
        <f>_xlfn.IFERROR(IF(D53="Private",'Parameters and Analysis'!$D$67*(VLOOKUP(A53,Data!A:CN,72,FALSE)/SUMIF(Data!$G$6:$G$30,"Private",Data!$BT$6:$BT$30)),IF(D53="NSGO",'Parameters and Analysis'!$D$68*(VLOOKUP(A53,Data!A:CN,72,FALSE)/SUMIF(Data!$G$6:$G$30,"NSGO",Data!$BT$6:$BT$30)),0)),0)</f>
        <v>231583.449390485</v>
      </c>
      <c r="R53" s="152"/>
      <c r="S53" s="151">
        <f>SUM(Q53:R53)</f>
        <v>231583.449390485</v>
      </c>
      <c r="T53" s="153">
        <f>S53-P53</f>
        <v>-48416.55060951499</v>
      </c>
    </row>
    <row r="54" spans="1:20" ht="13.5" hidden="1" thickBot="1">
      <c r="A54" s="154" t="s">
        <v>334</v>
      </c>
      <c r="B54" s="155">
        <v>1003333</v>
      </c>
      <c r="C54" s="156" t="s">
        <v>354</v>
      </c>
      <c r="D54" s="157" t="s">
        <v>117</v>
      </c>
      <c r="E54" s="143" t="s">
        <v>53</v>
      </c>
      <c r="F54" s="158" t="str">
        <f>VLOOKUP(E54,'Parameters and Analysis'!$A$29:$B$36,2,FALSE)</f>
        <v>Included</v>
      </c>
      <c r="G54" s="159">
        <v>0.1</v>
      </c>
      <c r="H54" s="160">
        <v>5</v>
      </c>
      <c r="I54" s="161" t="str">
        <f>IF(F54="Exempt","",IF(G54&gt;'Parameters and Analysis'!$F$21,'Parameters and Analysis'!$A$21,IF(H54&lt;'Parameters and Analysis'!$F$22,'Parameters and Analysis'!$A$22,IF(E54="Critical Access Hospital",'Parameters and Analysis'!$A$23,IF(E54="Other",'Parameters and Analysis'!$A$24,'Parameters and Analysis'!$A$20)))))</f>
        <v>Small Hospital</v>
      </c>
      <c r="J54" s="162">
        <f>IF(F54="Exempt",0,_xlfn.IFERROR(VLOOKUP(I54,'Parameters and Analysis'!$A$20:$B$24,2,FALSE),1))</f>
        <v>0.75</v>
      </c>
      <c r="K54" s="162"/>
      <c r="L54" s="163">
        <f>ROUND(_xlfn.IFERROR(VLOOKUP(A54,Data!A:DM,$D$6,FALSE),0)*J54,0)</f>
        <v>225</v>
      </c>
      <c r="M54" s="163"/>
      <c r="N54" s="164">
        <f>IF($D$6=15,'Parameters and Analysis'!$B$14*L54,IF(OR($D$6=73,$D$6=74),'Parameters and Analysis'!$C$14*L54,IF(OR($D$6=79,$D$6=116),'Parameters and Analysis'!$D$14*L54,'Parameters and Analysis'!$E$14*L54)))</f>
        <v>6300</v>
      </c>
      <c r="O54" s="164"/>
      <c r="P54" s="165">
        <f>SUM(N54:O54)</f>
        <v>6300</v>
      </c>
      <c r="Q54" s="166">
        <f>_xlfn.IFERROR(IF(D54="Private",'Parameters and Analysis'!$D$67*(VLOOKUP(A54,Data!A:CN,72,FALSE)/SUMIF(Data!$G$6:$G$30,"Private",Data!$BT$6:$BT$30)),IF(D54="NSGO",'Parameters and Analysis'!$D$68*(VLOOKUP(A54,Data!A:CN,72,FALSE)/SUMIF(Data!$G$6:$G$30,"NSGO",Data!$BT$6:$BT$30)),0)),0)</f>
        <v>69627.59198295894</v>
      </c>
      <c r="R54" s="166"/>
      <c r="S54" s="165">
        <f>SUM(Q54:R54)</f>
        <v>69627.59198295894</v>
      </c>
      <c r="T54" s="167">
        <f>S54-P54</f>
        <v>63327.59198295894</v>
      </c>
    </row>
    <row r="55" ht="12.75" hidden="1"/>
    <row r="56" ht="13.5" hidden="1" thickBot="1"/>
    <row r="57" spans="1:8" ht="12.75" hidden="1">
      <c r="A57" s="107" t="s">
        <v>326</v>
      </c>
      <c r="B57" s="108"/>
      <c r="C57" s="108"/>
      <c r="D57" s="108"/>
      <c r="E57" s="108"/>
      <c r="F57" s="108"/>
      <c r="G57" s="109"/>
      <c r="H57" s="110"/>
    </row>
    <row r="58" spans="1:12" ht="12.75" hidden="1">
      <c r="A58" s="111" t="s">
        <v>321</v>
      </c>
      <c r="B58" s="112"/>
      <c r="C58" s="112"/>
      <c r="D58" s="112"/>
      <c r="E58" s="112"/>
      <c r="F58" s="112"/>
      <c r="G58" s="113"/>
      <c r="H58" s="114"/>
      <c r="L58" s="115" t="s">
        <v>386</v>
      </c>
    </row>
    <row r="59" spans="1:12" ht="12.75" hidden="1">
      <c r="A59" s="111" t="s">
        <v>348</v>
      </c>
      <c r="B59" s="112"/>
      <c r="C59" s="112"/>
      <c r="D59" s="112"/>
      <c r="E59" s="112"/>
      <c r="F59" s="112"/>
      <c r="G59" s="113"/>
      <c r="H59" s="114"/>
      <c r="L59" s="117" t="s">
        <v>387</v>
      </c>
    </row>
    <row r="60" spans="1:20" ht="12.75" hidden="1">
      <c r="A60" s="111" t="s">
        <v>322</v>
      </c>
      <c r="B60" s="112"/>
      <c r="C60" s="112"/>
      <c r="D60" s="112"/>
      <c r="E60" s="112"/>
      <c r="F60" s="112"/>
      <c r="G60" s="113"/>
      <c r="H60" s="114"/>
      <c r="J60" s="118" t="s">
        <v>116</v>
      </c>
      <c r="L60" s="120">
        <f>SUMIF(Data!$G$6:$G$30,"Private",Data!$BT$6:$BT$30)</f>
        <v>58161</v>
      </c>
      <c r="M60" s="120"/>
      <c r="N60" s="120">
        <f>SUMIF($D$10:$D$34,$J60,N$10:N$34)</f>
        <v>4844000</v>
      </c>
      <c r="O60" s="120"/>
      <c r="P60" s="120">
        <f aca="true" t="shared" si="8" ref="P60:Q63">SUMIF($D$10:$D$34,$J60,P$10:P$34)</f>
        <v>4844000</v>
      </c>
      <c r="Q60" s="120">
        <f t="shared" si="8"/>
        <v>5387650</v>
      </c>
      <c r="R60" s="120"/>
      <c r="S60" s="120">
        <f aca="true" t="shared" si="9" ref="S60:T63">SUMIF($D$10:$D$34,$J60,S$10:S$34)</f>
        <v>5387650</v>
      </c>
      <c r="T60" s="120">
        <f t="shared" si="9"/>
        <v>543650.0000000003</v>
      </c>
    </row>
    <row r="61" spans="1:20" ht="12.75" hidden="1">
      <c r="A61" s="111"/>
      <c r="B61" s="112"/>
      <c r="C61" s="112"/>
      <c r="D61" s="112"/>
      <c r="E61" s="112"/>
      <c r="F61" s="112"/>
      <c r="G61" s="113"/>
      <c r="H61" s="114"/>
      <c r="J61" s="118" t="s">
        <v>117</v>
      </c>
      <c r="L61" s="120">
        <f>SUMIF(Data!$G$6:$G$30,"NSGO",Data!$BT$6:$BT$30)</f>
        <v>5164</v>
      </c>
      <c r="M61" s="120"/>
      <c r="N61" s="120">
        <f>SUMIF($D$10:$D$34,$J61,N$10:N$34)</f>
        <v>620620</v>
      </c>
      <c r="O61" s="120"/>
      <c r="P61" s="120">
        <f t="shared" si="8"/>
        <v>620620</v>
      </c>
      <c r="Q61" s="120">
        <f t="shared" si="8"/>
        <v>4230081</v>
      </c>
      <c r="R61" s="120"/>
      <c r="S61" s="120">
        <f t="shared" si="9"/>
        <v>4230081</v>
      </c>
      <c r="T61" s="120">
        <f t="shared" si="9"/>
        <v>3609461</v>
      </c>
    </row>
    <row r="62" spans="1:20" ht="12.75" hidden="1">
      <c r="A62" s="111"/>
      <c r="B62" s="112"/>
      <c r="C62" s="112"/>
      <c r="D62" s="112"/>
      <c r="E62" s="112"/>
      <c r="F62" s="112"/>
      <c r="G62" s="113"/>
      <c r="H62" s="114"/>
      <c r="J62" s="118" t="s">
        <v>115</v>
      </c>
      <c r="L62" s="120">
        <f>SUMIF($D$10:$D$34,$J62,L$10:L$34)</f>
        <v>0</v>
      </c>
      <c r="M62" s="120"/>
      <c r="N62" s="120">
        <f>SUMIF($D$10:$D$34,$J62,N$10:N$34)</f>
        <v>0</v>
      </c>
      <c r="O62" s="120"/>
      <c r="P62" s="120">
        <f t="shared" si="8"/>
        <v>0</v>
      </c>
      <c r="Q62" s="120">
        <f t="shared" si="8"/>
        <v>0</v>
      </c>
      <c r="R62" s="120"/>
      <c r="S62" s="120">
        <f t="shared" si="9"/>
        <v>0</v>
      </c>
      <c r="T62" s="120">
        <f t="shared" si="9"/>
        <v>0</v>
      </c>
    </row>
    <row r="63" spans="1:20" ht="15" hidden="1">
      <c r="A63" s="111"/>
      <c r="B63" s="112"/>
      <c r="C63" s="112" t="s">
        <v>356</v>
      </c>
      <c r="D63" s="112"/>
      <c r="E63" s="121">
        <f>VLOOKUP(A52,Data!A:DM,72,FALSE)</f>
        <v>11000</v>
      </c>
      <c r="F63" s="112"/>
      <c r="G63" s="113"/>
      <c r="H63" s="114"/>
      <c r="J63" s="118" t="s">
        <v>137</v>
      </c>
      <c r="L63" s="122">
        <f>SUMIF($D$10:$D$34,$J63,L$10:L$34)</f>
        <v>0</v>
      </c>
      <c r="M63" s="122"/>
      <c r="N63" s="122">
        <f>SUMIF($D$10:$D$34,$J63,N$10:N$34)</f>
        <v>0</v>
      </c>
      <c r="O63" s="122"/>
      <c r="P63" s="122">
        <f t="shared" si="8"/>
        <v>0</v>
      </c>
      <c r="Q63" s="122">
        <f t="shared" si="8"/>
        <v>0</v>
      </c>
      <c r="R63" s="122"/>
      <c r="S63" s="122">
        <f t="shared" si="9"/>
        <v>0</v>
      </c>
      <c r="T63" s="122">
        <f t="shared" si="9"/>
        <v>0</v>
      </c>
    </row>
    <row r="64" spans="1:20" ht="15" hidden="1">
      <c r="A64" s="111"/>
      <c r="B64" s="112"/>
      <c r="C64" s="112" t="s">
        <v>325</v>
      </c>
      <c r="D64" s="112"/>
      <c r="E64" s="121">
        <f>L60</f>
        <v>58161</v>
      </c>
      <c r="F64" s="112"/>
      <c r="G64" s="113"/>
      <c r="H64" s="114"/>
      <c r="L64" s="123">
        <f>SUM(L60:L63)</f>
        <v>63325</v>
      </c>
      <c r="M64" s="123"/>
      <c r="N64" s="123">
        <f aca="true" t="shared" si="10" ref="N64:T64">SUM(N60:N63)</f>
        <v>5464620</v>
      </c>
      <c r="O64" s="123"/>
      <c r="P64" s="123">
        <f t="shared" si="10"/>
        <v>5464620</v>
      </c>
      <c r="Q64" s="123">
        <f t="shared" si="10"/>
        <v>9617731</v>
      </c>
      <c r="R64" s="123"/>
      <c r="S64" s="123">
        <f t="shared" si="10"/>
        <v>9617731</v>
      </c>
      <c r="T64" s="123">
        <f t="shared" si="10"/>
        <v>4153111.0000000005</v>
      </c>
    </row>
    <row r="65" spans="1:8" ht="12.75" hidden="1">
      <c r="A65" s="111"/>
      <c r="B65" s="112"/>
      <c r="C65" s="112" t="s">
        <v>329</v>
      </c>
      <c r="D65" s="112"/>
      <c r="E65" s="124">
        <f>E63/E64</f>
        <v>0.18913017314007669</v>
      </c>
      <c r="F65" s="112"/>
      <c r="G65" s="113"/>
      <c r="H65" s="114"/>
    </row>
    <row r="66" spans="1:8" ht="12.75" hidden="1">
      <c r="A66" s="111"/>
      <c r="B66" s="112"/>
      <c r="C66" s="112" t="s">
        <v>323</v>
      </c>
      <c r="D66" s="112"/>
      <c r="E66" s="125">
        <f>'Parameters and Analysis'!D67</f>
        <v>5387650</v>
      </c>
      <c r="F66" s="112"/>
      <c r="G66" s="113"/>
      <c r="H66" s="114"/>
    </row>
    <row r="67" spans="1:8" ht="13.5" hidden="1" thickBot="1">
      <c r="A67" s="126"/>
      <c r="B67" s="127"/>
      <c r="C67" s="127" t="s">
        <v>324</v>
      </c>
      <c r="D67" s="127"/>
      <c r="E67" s="128">
        <f>E66*E65</f>
        <v>1018967.1773181341</v>
      </c>
      <c r="F67" s="127"/>
      <c r="G67" s="129"/>
      <c r="H67" s="130"/>
    </row>
    <row r="68" ht="12.75" hidden="1"/>
  </sheetData>
  <sheetProtection password="EE05" sheet="1" objects="1" scenarios="1"/>
  <protectedRanges>
    <protectedRange sqref="E52:E54 E10:E34" name="Range1"/>
  </protectedRanges>
  <printOptions/>
  <pageMargins left="0.25" right="0.25" top="0.75" bottom="0.75" header="0.3" footer="0.3"/>
  <pageSetup fitToHeight="0" fitToWidth="1" horizontalDpi="600" verticalDpi="600" orientation="landscape" scale="51" r:id="rId1"/>
  <headerFooter>
    <oddFooter>&amp;C&amp;"Arial,Regular"&amp;10&amp;A&amp;R&amp;"Arial,Regular"&amp;10Page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A2" sqref="A2"/>
    </sheetView>
  </sheetViews>
  <sheetFormatPr defaultColWidth="9.140625" defaultRowHeight="15"/>
  <cols>
    <col min="1" max="1" width="9.57421875" style="60" customWidth="1"/>
    <col min="2" max="2" width="9.28125" style="60" bestFit="1" customWidth="1"/>
    <col min="3" max="3" width="36.8515625" style="60" bestFit="1" customWidth="1"/>
    <col min="4" max="4" width="10.00390625" style="60" bestFit="1" customWidth="1"/>
    <col min="5" max="7" width="14.00390625" style="60" bestFit="1" customWidth="1"/>
    <col min="8" max="9" width="11.00390625" style="60" bestFit="1" customWidth="1"/>
    <col min="10" max="11" width="11.140625" style="60" bestFit="1" customWidth="1"/>
    <col min="12" max="12" width="11.421875" style="60" bestFit="1" customWidth="1"/>
    <col min="13" max="16384" width="9.140625" style="60" customWidth="1"/>
  </cols>
  <sheetData>
    <row r="1" spans="1:10" ht="20.25">
      <c r="A1" s="394" t="s">
        <v>336</v>
      </c>
      <c r="E1" s="269" t="s">
        <v>342</v>
      </c>
      <c r="F1" s="270">
        <f>'Parameters and Analysis'!C3</f>
        <v>42433</v>
      </c>
      <c r="G1" s="395"/>
      <c r="H1" s="396"/>
      <c r="J1" s="397"/>
    </row>
    <row r="2" spans="1:10" ht="12.75">
      <c r="A2" s="321"/>
      <c r="E2" s="269" t="s">
        <v>343</v>
      </c>
      <c r="F2" s="287">
        <f>'Parameters and Analysis'!C4</f>
        <v>2</v>
      </c>
      <c r="G2" s="398"/>
      <c r="H2" s="399"/>
      <c r="I2" s="399"/>
      <c r="J2" s="399"/>
    </row>
    <row r="3" spans="5:10" ht="12.75">
      <c r="E3" s="400"/>
      <c r="F3" s="401"/>
      <c r="G3" s="402"/>
      <c r="H3" s="399"/>
      <c r="I3" s="399"/>
      <c r="J3" s="399"/>
    </row>
    <row r="4" spans="1:10" ht="15.75">
      <c r="A4" s="332" t="s">
        <v>349</v>
      </c>
      <c r="E4" s="400"/>
      <c r="F4" s="401"/>
      <c r="G4" s="398"/>
      <c r="H4" s="403"/>
      <c r="I4" s="404"/>
      <c r="J4" s="404"/>
    </row>
    <row r="5" spans="1:6" ht="12.75">
      <c r="A5" s="405"/>
      <c r="E5" s="406" t="s">
        <v>217</v>
      </c>
      <c r="F5" s="406" t="s">
        <v>219</v>
      </c>
    </row>
    <row r="6" spans="1:6" ht="12.75">
      <c r="A6" s="267" t="s">
        <v>178</v>
      </c>
      <c r="C6" s="60" t="str">
        <f>Model!C6</f>
        <v>2:  Total Patient Days</v>
      </c>
      <c r="E6" s="407">
        <f>HLOOKUP(CONCATENATE("IP","-",LEFT(C6,1)),Data!A1:DM2,2,FALSE)</f>
        <v>73</v>
      </c>
      <c r="F6" s="408">
        <f>IF(OR(E6=15,E6=73,E6=74),72,IF(OR(E6=79,E6=116),84,IF(OR(E6=108,E6=109),103,0)))</f>
        <v>72</v>
      </c>
    </row>
    <row r="7" ht="12.75">
      <c r="A7" s="405"/>
    </row>
    <row r="8" spans="1:12" ht="12.75">
      <c r="A8" s="397" t="s">
        <v>123</v>
      </c>
      <c r="B8" s="397" t="s">
        <v>124</v>
      </c>
      <c r="C8" s="397" t="s">
        <v>125</v>
      </c>
      <c r="D8" s="397" t="s">
        <v>126</v>
      </c>
      <c r="E8" s="397" t="s">
        <v>127</v>
      </c>
      <c r="F8" s="397" t="s">
        <v>128</v>
      </c>
      <c r="G8" s="397" t="s">
        <v>129</v>
      </c>
      <c r="H8" s="397" t="s">
        <v>130</v>
      </c>
      <c r="I8" s="397" t="s">
        <v>131</v>
      </c>
      <c r="J8" s="397" t="s">
        <v>207</v>
      </c>
      <c r="K8" s="397" t="s">
        <v>133</v>
      </c>
      <c r="L8" s="397" t="s">
        <v>134</v>
      </c>
    </row>
    <row r="9" spans="1:12" ht="12.75">
      <c r="A9" s="397"/>
      <c r="B9" s="397"/>
      <c r="C9" s="397"/>
      <c r="D9" s="397"/>
      <c r="E9" s="397"/>
      <c r="F9" s="397"/>
      <c r="G9" s="397"/>
      <c r="H9" s="397"/>
      <c r="I9" s="397"/>
      <c r="J9" s="397"/>
      <c r="K9" s="397"/>
      <c r="L9" s="397"/>
    </row>
    <row r="10" spans="1:12" ht="54.75" customHeight="1" thickBot="1">
      <c r="A10" s="409" t="s">
        <v>56</v>
      </c>
      <c r="B10" s="409" t="s">
        <v>57</v>
      </c>
      <c r="C10" s="409" t="s">
        <v>0</v>
      </c>
      <c r="D10" s="409" t="s">
        <v>135</v>
      </c>
      <c r="E10" s="409" t="s">
        <v>209</v>
      </c>
      <c r="F10" s="409" t="s">
        <v>199</v>
      </c>
      <c r="G10" s="409" t="s">
        <v>218</v>
      </c>
      <c r="H10" s="409" t="s">
        <v>220</v>
      </c>
      <c r="I10" s="409" t="s">
        <v>221</v>
      </c>
      <c r="J10" s="409" t="s">
        <v>222</v>
      </c>
      <c r="K10" s="409" t="s">
        <v>223</v>
      </c>
      <c r="L10" s="409" t="s">
        <v>224</v>
      </c>
    </row>
    <row r="11" spans="1:12" ht="12.75">
      <c r="A11" s="85" t="s">
        <v>10</v>
      </c>
      <c r="B11" s="86">
        <f>_xlfn.IFERROR(VLOOKUP(A11,Data!A:BL,2,FALSE),"")</f>
        <v>1005630</v>
      </c>
      <c r="C11" s="87" t="str">
        <f>_xlfn.IFERROR(VLOOKUP(A11,Data!A:BL,3,FALSE),"")</f>
        <v>Providence Alaska Medical Center</v>
      </c>
      <c r="D11" s="87" t="str">
        <f>VLOOKUP(A11,Model!A:F,6,FALSE)</f>
        <v>Included</v>
      </c>
      <c r="E11" s="93">
        <f>IF(VLOOKUP(A11,Model!$A$10:$E$34,5,FALSE)="Alaska Native Tribal Hospital",0,VLOOKUP(A11,Data!A:DM,$E$6,FALSE))</f>
        <v>102220</v>
      </c>
      <c r="F11" s="93">
        <f>IF(VLOOKUP(A11,Model!$A$10:$E$34,5,FALSE)="Alaska Native Tribal Hospital",0,VLOOKUP(A11,Model!$A$10:$M$34,12,FALSE))</f>
        <v>76665</v>
      </c>
      <c r="G11" s="93">
        <f>IF(VLOOKUP(A11,Model!$A$10:$E$34,5,FALSE)="Alaska Native Tribal Hospital",0,VLOOKUP(A11,Data!A:DM,$F$6,FALSE))</f>
        <v>24573</v>
      </c>
      <c r="H11" s="410">
        <f aca="true" t="shared" si="0" ref="H11:H28">E11/$E$29</f>
        <v>0.4024631278889388</v>
      </c>
      <c r="I11" s="410">
        <f aca="true" t="shared" si="1" ref="I11:I28">F11/$F$29</f>
        <v>0.3928214587656598</v>
      </c>
      <c r="J11" s="411"/>
      <c r="K11" s="412"/>
      <c r="L11" s="412"/>
    </row>
    <row r="12" spans="1:12" ht="12.75">
      <c r="A12" s="85" t="s">
        <v>14</v>
      </c>
      <c r="B12" s="86">
        <f>_xlfn.IFERROR(VLOOKUP(A12,Data!A:BL,2,FALSE),"")</f>
        <v>1006079</v>
      </c>
      <c r="C12" s="87" t="str">
        <f>_xlfn.IFERROR(VLOOKUP(A12,Data!A:BL,3,FALSE),"")</f>
        <v>Mat-Su Regional Medical Center</v>
      </c>
      <c r="D12" s="87" t="str">
        <f>VLOOKUP(A12,Model!A:F,6,FALSE)</f>
        <v>Included</v>
      </c>
      <c r="E12" s="93">
        <f>IF(VLOOKUP(A12,Model!$A$10:$E$34,5,FALSE)="Alaska Native Tribal Hospital",0,VLOOKUP(A12,Data!A:DM,$E$6,FALSE))</f>
        <v>15197.999999999998</v>
      </c>
      <c r="F12" s="93">
        <f>IF(VLOOKUP(A12,Model!$A$10:$E$34,5,FALSE)="Alaska Native Tribal Hospital",0,VLOOKUP(A12,Model!$A$10:$M$34,12,FALSE))</f>
        <v>15198</v>
      </c>
      <c r="G12" s="93">
        <f>IF(VLOOKUP(A12,Model!$A$10:$E$34,5,FALSE)="Alaska Native Tribal Hospital",0,VLOOKUP(A12,Data!A:DM,$F$6,FALSE))</f>
        <v>2672</v>
      </c>
      <c r="H12" s="410">
        <f t="shared" si="0"/>
        <v>0.05983794382367531</v>
      </c>
      <c r="I12" s="410">
        <f t="shared" si="1"/>
        <v>0.07787256936438398</v>
      </c>
      <c r="J12" s="411"/>
      <c r="K12" s="413"/>
      <c r="L12" s="413"/>
    </row>
    <row r="13" spans="1:12" ht="12.75">
      <c r="A13" s="85" t="s">
        <v>5</v>
      </c>
      <c r="B13" s="86">
        <f>_xlfn.IFERROR(VLOOKUP(A13,Data!A:BL,2,FALSE),"")</f>
        <v>1005539</v>
      </c>
      <c r="C13" s="87" t="str">
        <f>_xlfn.IFERROR(VLOOKUP(A13,Data!A:BL,3,FALSE),"")</f>
        <v>Bartlett Regional Hospital</v>
      </c>
      <c r="D13" s="87" t="str">
        <f>VLOOKUP(A13,Model!A:F,6,FALSE)</f>
        <v>Included</v>
      </c>
      <c r="E13" s="93">
        <f>IF(VLOOKUP(A13,Model!$A$10:$E$34,5,FALSE)="Alaska Native Tribal Hospital",0,VLOOKUP(A13,Data!A:DM,$E$6,FALSE))</f>
        <v>8572</v>
      </c>
      <c r="F13" s="93">
        <f>IF(VLOOKUP(A13,Model!$A$10:$E$34,5,FALSE)="Alaska Native Tribal Hospital",0,VLOOKUP(A13,Model!$A$10:$M$34,12,FALSE))</f>
        <v>6429</v>
      </c>
      <c r="G13" s="93">
        <f>IF(VLOOKUP(A13,Model!$A$10:$E$34,5,FALSE)="Alaska Native Tribal Hospital",0,VLOOKUP(A13,Data!A:DM,$F$6,FALSE))</f>
        <v>1985</v>
      </c>
      <c r="H13" s="410">
        <f t="shared" si="0"/>
        <v>0.03374989172631562</v>
      </c>
      <c r="I13" s="410">
        <f t="shared" si="1"/>
        <v>0.03294135731304281</v>
      </c>
      <c r="J13" s="411"/>
      <c r="K13" s="413"/>
      <c r="L13" s="413"/>
    </row>
    <row r="14" spans="1:12" ht="12.75">
      <c r="A14" s="85" t="s">
        <v>7</v>
      </c>
      <c r="B14" s="86">
        <f>_xlfn.IFERROR(VLOOKUP(A14,Data!A:BL,2,FALSE),"")</f>
        <v>1005551</v>
      </c>
      <c r="C14" s="87" t="str">
        <f>_xlfn.IFERROR(VLOOKUP(A14,Data!A:BL,3,FALSE),"")</f>
        <v>Fairbanks Memorial Hospital</v>
      </c>
      <c r="D14" s="87" t="str">
        <f>VLOOKUP(A14,Model!A:F,6,FALSE)</f>
        <v>Included</v>
      </c>
      <c r="E14" s="93">
        <f>IF(VLOOKUP(A14,Model!$A$10:$E$34,5,FALSE)="Alaska Native Tribal Hospital",0,VLOOKUP(A14,Data!A:DM,$E$6,FALSE))</f>
        <v>20840</v>
      </c>
      <c r="F14" s="93">
        <f>IF(VLOOKUP(A14,Model!$A$10:$E$34,5,FALSE)="Alaska Native Tribal Hospital",0,VLOOKUP(A14,Model!$A$10:$M$34,12,FALSE))</f>
        <v>20840</v>
      </c>
      <c r="G14" s="93">
        <f>IF(VLOOKUP(A14,Model!$A$10:$E$34,5,FALSE)="Alaska Native Tribal Hospital",0,VLOOKUP(A14,Data!A:DM,$F$6,FALSE))</f>
        <v>3737.0000000000005</v>
      </c>
      <c r="H14" s="410">
        <f t="shared" si="0"/>
        <v>0.08205176663280653</v>
      </c>
      <c r="I14" s="410">
        <f t="shared" si="1"/>
        <v>0.10678144134450337</v>
      </c>
      <c r="J14" s="411"/>
      <c r="K14" s="413"/>
      <c r="L14" s="413"/>
    </row>
    <row r="15" spans="1:12" ht="12.75">
      <c r="A15" s="85" t="s">
        <v>4</v>
      </c>
      <c r="B15" s="86">
        <f>_xlfn.IFERROR(VLOOKUP(A15,Data!A:BL,2,FALSE),"")</f>
        <v>1005744</v>
      </c>
      <c r="C15" s="87" t="str">
        <f>_xlfn.IFERROR(VLOOKUP(A15,Data!A:BL,3,FALSE),"")</f>
        <v>Alaska Regional Hospital</v>
      </c>
      <c r="D15" s="87" t="str">
        <f>VLOOKUP(A15,Model!A:F,6,FALSE)</f>
        <v>Included</v>
      </c>
      <c r="E15" s="93">
        <f>IF(VLOOKUP(A15,Model!$A$10:$E$34,5,FALSE)="Alaska Native Tribal Hospital",0,VLOOKUP(A15,Data!A:DM,$E$6,FALSE))</f>
        <v>25619.000000000004</v>
      </c>
      <c r="F15" s="93">
        <f>IF(VLOOKUP(A15,Model!$A$10:$E$34,5,FALSE)="Alaska Native Tribal Hospital",0,VLOOKUP(A15,Model!$A$10:$M$34,12,FALSE))</f>
        <v>25619</v>
      </c>
      <c r="G15" s="93">
        <f>IF(VLOOKUP(A15,Model!$A$10:$E$34,5,FALSE)="Alaska Native Tribal Hospital",0,VLOOKUP(A15,Data!A:DM,$F$6,FALSE))</f>
        <v>3202</v>
      </c>
      <c r="H15" s="410">
        <f t="shared" si="0"/>
        <v>0.10086776436496502</v>
      </c>
      <c r="I15" s="410">
        <f t="shared" si="1"/>
        <v>0.13126841390618194</v>
      </c>
      <c r="J15" s="411"/>
      <c r="K15" s="413"/>
      <c r="L15" s="413"/>
    </row>
    <row r="16" spans="1:12" ht="12.75">
      <c r="A16" s="85" t="s">
        <v>6</v>
      </c>
      <c r="B16" s="86">
        <f>_xlfn.IFERROR(VLOOKUP(A16,Data!A:BL,2,FALSE),"")</f>
        <v>1005528</v>
      </c>
      <c r="C16" s="87" t="str">
        <f>_xlfn.IFERROR(VLOOKUP(A16,Data!A:BL,3,FALSE),"")</f>
        <v>Central Peninsula General Hospital</v>
      </c>
      <c r="D16" s="87" t="str">
        <f>VLOOKUP(A16,Model!A:F,6,FALSE)</f>
        <v>Included</v>
      </c>
      <c r="E16" s="93">
        <f>IF(VLOOKUP(A16,Model!$A$10:$E$34,5,FALSE)="Alaska Native Tribal Hospital",0,VLOOKUP(A16,Data!A:DM,$E$6,FALSE))</f>
        <v>9206</v>
      </c>
      <c r="F16" s="93">
        <f>IF(VLOOKUP(A16,Model!$A$10:$E$34,5,FALSE)="Alaska Native Tribal Hospital",0,VLOOKUP(A16,Model!$A$10:$M$34,12,FALSE))</f>
        <v>9206</v>
      </c>
      <c r="G16" s="93">
        <f>IF(VLOOKUP(A16,Model!$A$10:$E$34,5,FALSE)="Alaska Native Tribal Hospital",0,VLOOKUP(A16,Data!A:DM,$F$6,FALSE))</f>
        <v>1651.0000000000002</v>
      </c>
      <c r="H16" s="410">
        <f t="shared" si="0"/>
        <v>0.03624609230430024</v>
      </c>
      <c r="I16" s="410">
        <f t="shared" si="1"/>
        <v>0.047170343043066124</v>
      </c>
      <c r="J16" s="411"/>
      <c r="K16" s="413"/>
      <c r="L16" s="413"/>
    </row>
    <row r="17" spans="1:12" ht="12.75">
      <c r="A17" s="85" t="s">
        <v>19</v>
      </c>
      <c r="B17" s="86">
        <f>_xlfn.IFERROR(VLOOKUP(A17,Data!A:BL,2,FALSE),"")</f>
        <v>1005536</v>
      </c>
      <c r="C17" s="87" t="str">
        <f>_xlfn.IFERROR(VLOOKUP(A17,Data!A:BL,3,FALSE),"")</f>
        <v>Providence Valdez Medical Ctr.</v>
      </c>
      <c r="D17" s="87" t="str">
        <f>VLOOKUP(A17,Model!A:F,6,FALSE)</f>
        <v>Included</v>
      </c>
      <c r="E17" s="93">
        <f>IF(VLOOKUP(A17,Model!$A$10:$E$34,5,FALSE)="Alaska Native Tribal Hospital",0,VLOOKUP(A17,Data!A:DM,$E$6,FALSE))</f>
        <v>392.99999999999994</v>
      </c>
      <c r="F17" s="93">
        <f>IF(VLOOKUP(A17,Model!$A$10:$E$34,5,FALSE)="Alaska Native Tribal Hospital",0,VLOOKUP(A17,Model!$A$10:$M$34,12,FALSE))</f>
        <v>295</v>
      </c>
      <c r="G17" s="93">
        <f>IF(VLOOKUP(A17,Model!$A$10:$E$34,5,FALSE)="Alaska Native Tribal Hospital",0,VLOOKUP(A17,Data!A:DM,$F$6,FALSE))</f>
        <v>40</v>
      </c>
      <c r="H17" s="410">
        <f t="shared" si="0"/>
        <v>0.001547329380359547</v>
      </c>
      <c r="I17" s="410">
        <f t="shared" si="1"/>
        <v>0.0015115415161529987</v>
      </c>
      <c r="J17" s="411"/>
      <c r="K17" s="413"/>
      <c r="L17" s="413"/>
    </row>
    <row r="18" spans="1:12" ht="12.75">
      <c r="A18" s="85" t="s">
        <v>16</v>
      </c>
      <c r="B18" s="86">
        <f>_xlfn.IFERROR(VLOOKUP(A18,Data!A:BL,2,FALSE),"")</f>
        <v>1006087</v>
      </c>
      <c r="C18" s="87" t="str">
        <f>_xlfn.IFERROR(VLOOKUP(A18,Data!A:BL,3,FALSE),"")</f>
        <v>Providence Seward Medical &amp; Care Center</v>
      </c>
      <c r="D18" s="87" t="str">
        <f>VLOOKUP(A18,Model!A:F,6,FALSE)</f>
        <v>Included</v>
      </c>
      <c r="E18" s="93">
        <f>IF(VLOOKUP(A18,Model!$A$10:$E$34,5,FALSE)="Alaska Native Tribal Hospital",0,VLOOKUP(A18,Data!A:DM,$E$6,FALSE))</f>
        <v>134</v>
      </c>
      <c r="F18" s="93">
        <f>IF(VLOOKUP(A18,Model!$A$10:$E$34,5,FALSE)="Alaska Native Tribal Hospital",0,VLOOKUP(A18,Model!$A$10:$M$34,12,FALSE))</f>
        <v>101</v>
      </c>
      <c r="G18" s="93">
        <f>IF(VLOOKUP(A18,Model!$A$10:$E$34,5,FALSE)="Alaska Native Tribal Hospital",0,VLOOKUP(A18,Data!A:DM,$F$6,FALSE))</f>
        <v>9</v>
      </c>
      <c r="H18" s="410">
        <f t="shared" si="0"/>
        <v>0.0005275881347790823</v>
      </c>
      <c r="I18" s="410">
        <f t="shared" si="1"/>
        <v>0.0005175108241744165</v>
      </c>
      <c r="J18" s="411"/>
      <c r="K18" s="413"/>
      <c r="L18" s="413"/>
    </row>
    <row r="19" spans="1:12" ht="12.75">
      <c r="A19" s="85" t="s">
        <v>12</v>
      </c>
      <c r="B19" s="86">
        <f>_xlfn.IFERROR(VLOOKUP(A19,Data!A:BL,2,FALSE),"")</f>
        <v>1005674</v>
      </c>
      <c r="C19" s="87" t="str">
        <f>_xlfn.IFERROR(VLOOKUP(A19,Data!A:BL,3,FALSE),"")</f>
        <v>Sitka Community Hospital</v>
      </c>
      <c r="D19" s="87" t="str">
        <f>VLOOKUP(A19,Model!A:F,6,FALSE)</f>
        <v>Included</v>
      </c>
      <c r="E19" s="93">
        <f>IF(VLOOKUP(A19,Model!$A$10:$E$34,5,FALSE)="Alaska Native Tribal Hospital",0,VLOOKUP(A19,Data!A:DM,$E$6,FALSE))</f>
        <v>938</v>
      </c>
      <c r="F19" s="93">
        <f>IF(VLOOKUP(A19,Model!$A$10:$E$34,5,FALSE)="Alaska Native Tribal Hospital",0,VLOOKUP(A19,Model!$A$10:$M$34,12,FALSE))</f>
        <v>704</v>
      </c>
      <c r="G19" s="93">
        <f>IF(VLOOKUP(A19,Model!$A$10:$E$34,5,FALSE)="Alaska Native Tribal Hospital",0,VLOOKUP(A19,Data!A:DM,$F$6,FALSE))</f>
        <v>57</v>
      </c>
      <c r="H19" s="410">
        <f t="shared" si="0"/>
        <v>0.0036931169434535763</v>
      </c>
      <c r="I19" s="410">
        <f t="shared" si="1"/>
        <v>0.0036072041605820717</v>
      </c>
      <c r="J19" s="411"/>
      <c r="K19" s="413"/>
      <c r="L19" s="413"/>
    </row>
    <row r="20" spans="1:12" ht="12.75">
      <c r="A20" s="85" t="s">
        <v>9</v>
      </c>
      <c r="B20" s="86">
        <f>_xlfn.IFERROR(VLOOKUP(A20,Data!A:BL,2,FALSE),"")</f>
        <v>1005609</v>
      </c>
      <c r="C20" s="87" t="str">
        <f>_xlfn.IFERROR(VLOOKUP(A20,Data!A:BL,3,FALSE),"")</f>
        <v>Petersburg Medical Center</v>
      </c>
      <c r="D20" s="87" t="str">
        <f>VLOOKUP(A20,Model!A:F,6,FALSE)</f>
        <v>Included</v>
      </c>
      <c r="E20" s="93">
        <f>IF(VLOOKUP(A20,Model!$A$10:$E$34,5,FALSE)="Alaska Native Tribal Hospital",0,VLOOKUP(A20,Data!A:DM,$E$6,FALSE))</f>
        <v>330</v>
      </c>
      <c r="F20" s="93">
        <f>IF(VLOOKUP(A20,Model!$A$10:$E$34,5,FALSE)="Alaska Native Tribal Hospital",0,VLOOKUP(A20,Model!$A$10:$M$34,12,FALSE))</f>
        <v>248</v>
      </c>
      <c r="G20" s="93">
        <f>IF(VLOOKUP(A20,Model!$A$10:$E$34,5,FALSE)="Alaska Native Tribal Hospital",0,VLOOKUP(A20,Data!A:DM,$F$6,FALSE))</f>
        <v>29.000000000000004</v>
      </c>
      <c r="H20" s="410">
        <f t="shared" si="0"/>
        <v>0.0012992842125156504</v>
      </c>
      <c r="I20" s="410">
        <f t="shared" si="1"/>
        <v>0.0012707196474777752</v>
      </c>
      <c r="J20" s="411"/>
      <c r="K20" s="413"/>
      <c r="L20" s="413"/>
    </row>
    <row r="21" spans="1:12" ht="12.75">
      <c r="A21" s="85" t="s">
        <v>17</v>
      </c>
      <c r="B21" s="86">
        <f>_xlfn.IFERROR(VLOOKUP(A21,Data!A:BL,2,FALSE),"")</f>
        <v>1005584</v>
      </c>
      <c r="C21" s="87" t="str">
        <f>_xlfn.IFERROR(VLOOKUP(A21,Data!A:BL,3,FALSE),"")</f>
        <v>Wrangell Medical Center</v>
      </c>
      <c r="D21" s="87" t="str">
        <f>VLOOKUP(A21,Model!A:F,6,FALSE)</f>
        <v>Included</v>
      </c>
      <c r="E21" s="93">
        <f>IF(VLOOKUP(A21,Model!$A$10:$E$34,5,FALSE)="Alaska Native Tribal Hospital",0,VLOOKUP(A21,Data!A:DM,$E$6,FALSE))</f>
        <v>410</v>
      </c>
      <c r="F21" s="93">
        <f>IF(VLOOKUP(A21,Model!$A$10:$E$34,5,FALSE)="Alaska Native Tribal Hospital",0,VLOOKUP(A21,Model!$A$10:$M$34,12,FALSE))</f>
        <v>308</v>
      </c>
      <c r="G21" s="93">
        <f>IF(VLOOKUP(A21,Model!$A$10:$E$34,5,FALSE)="Alaska Native Tribal Hospital",0,VLOOKUP(A21,Data!A:DM,$F$6,FALSE))</f>
        <v>15</v>
      </c>
      <c r="H21" s="410">
        <f t="shared" si="0"/>
        <v>0.0016142622034285355</v>
      </c>
      <c r="I21" s="410">
        <f t="shared" si="1"/>
        <v>0.0015781518202546564</v>
      </c>
      <c r="J21" s="411"/>
      <c r="K21" s="413"/>
      <c r="L21" s="413"/>
    </row>
    <row r="22" spans="1:12" ht="12.75">
      <c r="A22" s="85" t="s">
        <v>11</v>
      </c>
      <c r="B22" s="86">
        <f>_xlfn.IFERROR(VLOOKUP(A22,Data!A:BL,2,FALSE),"")</f>
        <v>1005622</v>
      </c>
      <c r="C22" s="87" t="str">
        <f>_xlfn.IFERROR(VLOOKUP(A22,Data!A:BL,3,FALSE),"")</f>
        <v>Providence Kodiak Island Medical Center</v>
      </c>
      <c r="D22" s="87" t="str">
        <f>VLOOKUP(A22,Model!A:F,6,FALSE)</f>
        <v>Included</v>
      </c>
      <c r="E22" s="93">
        <f>IF(VLOOKUP(A22,Model!$A$10:$E$34,5,FALSE)="Alaska Native Tribal Hospital",0,VLOOKUP(A22,Data!A:DM,$E$6,FALSE))</f>
        <v>2094</v>
      </c>
      <c r="F22" s="93">
        <f>IF(VLOOKUP(A22,Model!$A$10:$E$34,5,FALSE)="Alaska Native Tribal Hospital",0,VLOOKUP(A22,Model!$A$10:$M$34,12,FALSE))</f>
        <v>1571</v>
      </c>
      <c r="G22" s="93">
        <f>IF(VLOOKUP(A22,Model!$A$10:$E$34,5,FALSE)="Alaska Native Tribal Hospital",0,VLOOKUP(A22,Data!A:DM,$F$6,FALSE))</f>
        <v>484.00000000000006</v>
      </c>
      <c r="H22" s="410">
        <f t="shared" si="0"/>
        <v>0.008244548912144763</v>
      </c>
      <c r="I22" s="410">
        <f t="shared" si="1"/>
        <v>0.008049599057208003</v>
      </c>
      <c r="J22" s="411"/>
      <c r="K22" s="413"/>
      <c r="L22" s="413"/>
    </row>
    <row r="23" spans="1:12" ht="12.75">
      <c r="A23" s="85" t="s">
        <v>18</v>
      </c>
      <c r="B23" s="86">
        <f>_xlfn.IFERROR(VLOOKUP(A23,Data!A:BL,2,FALSE),"")</f>
        <v>1005594</v>
      </c>
      <c r="C23" s="87" t="str">
        <f>_xlfn.IFERROR(VLOOKUP(A23,Data!A:BL,3,FALSE),"")</f>
        <v>Cordova Community Medical Ctr.</v>
      </c>
      <c r="D23" s="87" t="str">
        <f>VLOOKUP(A23,Model!A:F,6,FALSE)</f>
        <v>Included</v>
      </c>
      <c r="E23" s="93">
        <f>IF(VLOOKUP(A23,Model!$A$10:$E$34,5,FALSE)="Alaska Native Tribal Hospital",0,VLOOKUP(A23,Data!A:DM,$E$6,FALSE))</f>
        <v>154</v>
      </c>
      <c r="F23" s="93">
        <f>IF(VLOOKUP(A23,Model!$A$10:$E$34,5,FALSE)="Alaska Native Tribal Hospital",0,VLOOKUP(A23,Model!$A$10:$M$34,12,FALSE))</f>
        <v>116</v>
      </c>
      <c r="G23" s="93">
        <f>IF(VLOOKUP(A23,Model!$A$10:$E$34,5,FALSE)="Alaska Native Tribal Hospital",0,VLOOKUP(A23,Data!A:DM,$F$6,FALSE))</f>
        <v>4</v>
      </c>
      <c r="H23" s="410">
        <f t="shared" si="0"/>
        <v>0.0006063326325073036</v>
      </c>
      <c r="I23" s="410">
        <f t="shared" si="1"/>
        <v>0.0005943688673686368</v>
      </c>
      <c r="J23" s="411"/>
      <c r="K23" s="413"/>
      <c r="L23" s="413"/>
    </row>
    <row r="24" spans="1:12" ht="12.75">
      <c r="A24" s="85" t="s">
        <v>8</v>
      </c>
      <c r="B24" s="86">
        <f>_xlfn.IFERROR(VLOOKUP(A24,Data!A:BL,2,FALSE),"")</f>
        <v>1005563</v>
      </c>
      <c r="C24" s="87" t="str">
        <f>_xlfn.IFERROR(VLOOKUP(A24,Data!A:BL,3,FALSE),"")</f>
        <v>PeaceHealth Ketchikan Medical Center</v>
      </c>
      <c r="D24" s="87" t="str">
        <f>VLOOKUP(A24,Model!A:F,6,FALSE)</f>
        <v>Included</v>
      </c>
      <c r="E24" s="93">
        <f>IF(VLOOKUP(A24,Model!$A$10:$E$34,5,FALSE)="Alaska Native Tribal Hospital",0,VLOOKUP(A24,Data!A:DM,$E$6,FALSE))</f>
        <v>3770</v>
      </c>
      <c r="F24" s="93">
        <f>IF(VLOOKUP(A24,Model!$A$10:$E$34,5,FALSE)="Alaska Native Tribal Hospital",0,VLOOKUP(A24,Model!$A$10:$M$34,12,FALSE))</f>
        <v>2828</v>
      </c>
      <c r="G24" s="93">
        <f>IF(VLOOKUP(A24,Model!$A$10:$E$34,5,FALSE)="Alaska Native Tribal Hospital",0,VLOOKUP(A24,Data!A:DM,$F$6,FALSE))</f>
        <v>739</v>
      </c>
      <c r="H24" s="410">
        <f t="shared" si="0"/>
        <v>0.014843337821769704</v>
      </c>
      <c r="I24" s="410">
        <f t="shared" si="1"/>
        <v>0.014490303076883662</v>
      </c>
      <c r="J24" s="411"/>
      <c r="K24" s="413"/>
      <c r="L24" s="413"/>
    </row>
    <row r="25" spans="1:12" ht="12.75">
      <c r="A25" s="85" t="s">
        <v>13</v>
      </c>
      <c r="B25" s="86">
        <f>_xlfn.IFERROR(VLOOKUP(A25,Data!A:BL,2,FALSE),"")</f>
        <v>1005653</v>
      </c>
      <c r="C25" s="87" t="str">
        <f>_xlfn.IFERROR(VLOOKUP(A25,Data!A:BL,3,FALSE),"")</f>
        <v>South Peninsula Hospital</v>
      </c>
      <c r="D25" s="87" t="str">
        <f>VLOOKUP(A25,Model!A:F,6,FALSE)</f>
        <v>Included</v>
      </c>
      <c r="E25" s="93">
        <f>IF(VLOOKUP(A25,Model!$A$10:$E$34,5,FALSE)="Alaska Native Tribal Hospital",0,VLOOKUP(A25,Data!A:DM,$E$6,FALSE))</f>
        <v>2573</v>
      </c>
      <c r="F25" s="93">
        <f>IF(VLOOKUP(A25,Model!$A$10:$E$34,5,FALSE)="Alaska Native Tribal Hospital",0,VLOOKUP(A25,Model!$A$10:$M$34,12,FALSE))</f>
        <v>1930</v>
      </c>
      <c r="G25" s="93">
        <f>IF(VLOOKUP(A25,Model!$A$10:$E$34,5,FALSE)="Alaska Native Tribal Hospital",0,VLOOKUP(A25,Data!A:DM,$F$6,FALSE))</f>
        <v>635</v>
      </c>
      <c r="H25" s="410">
        <f t="shared" si="0"/>
        <v>0.010130479632735662</v>
      </c>
      <c r="I25" s="410">
        <f t="shared" si="1"/>
        <v>0.009889068224323009</v>
      </c>
      <c r="J25" s="411"/>
      <c r="K25" s="413"/>
      <c r="L25" s="413"/>
    </row>
    <row r="26" spans="1:12" ht="12.75">
      <c r="A26" s="85" t="s">
        <v>15</v>
      </c>
      <c r="B26" s="86">
        <f>_xlfn.IFERROR(VLOOKUP(A26,Data!A:BL,2,FALSE),"")</f>
        <v>1006190</v>
      </c>
      <c r="C26" s="87" t="str">
        <f>_xlfn.IFERROR(VLOOKUP(A26,Data!A:BL,3,FALSE),"")</f>
        <v>St. Elias Specialty Hospital</v>
      </c>
      <c r="D26" s="87" t="str">
        <f>VLOOKUP(A26,Model!A:F,6,FALSE)</f>
        <v>Included</v>
      </c>
      <c r="E26" s="93">
        <f>IF(VLOOKUP(A26,Model!$A$10:$E$34,5,FALSE)="Alaska Native Tribal Hospital",0,VLOOKUP(A26,Data!A:DM,$E$6,FALSE))</f>
        <v>11145</v>
      </c>
      <c r="F26" s="93">
        <f>IF(VLOOKUP(A26,Model!$A$10:$E$34,5,FALSE)="Alaska Native Tribal Hospital",0,VLOOKUP(A26,Model!$A$10:$M$34,12,FALSE))</f>
        <v>11145</v>
      </c>
      <c r="G26" s="93">
        <f>IF(VLOOKUP(A26,Model!$A$10:$E$34,5,FALSE)="Alaska Native Tribal Hospital",0,VLOOKUP(A26,Data!A:DM,$F$6,FALSE))</f>
        <v>1535.9999999999998</v>
      </c>
      <c r="H26" s="410">
        <f t="shared" si="0"/>
        <v>0.04388037135905128</v>
      </c>
      <c r="I26" s="410">
        <f t="shared" si="1"/>
        <v>0.057105526093305665</v>
      </c>
      <c r="J26" s="411"/>
      <c r="K26" s="413"/>
      <c r="L26" s="413"/>
    </row>
    <row r="27" spans="1:12" ht="12.75">
      <c r="A27" s="85" t="s">
        <v>21</v>
      </c>
      <c r="B27" s="86">
        <f>_xlfn.IFERROR(VLOOKUP(A27,Data!A:BL,2,FALSE),"")</f>
        <v>1005826</v>
      </c>
      <c r="C27" s="87" t="str">
        <f>_xlfn.IFERROR(VLOOKUP(A27,Data!A:BL,3,FALSE),"")</f>
        <v>North Star Hospital</v>
      </c>
      <c r="D27" s="87" t="str">
        <f>VLOOKUP(A27,Model!A:F,6,FALSE)</f>
        <v>Included</v>
      </c>
      <c r="E27" s="93">
        <f>IF(VLOOKUP(A27,Model!$A$10:$E$34,5,FALSE)="Alaska Native Tribal Hospital",0,VLOOKUP(A27,Data!A:DM,$E$6,FALSE))</f>
        <v>29282</v>
      </c>
      <c r="F27" s="93">
        <f>IF(VLOOKUP(A27,Model!$A$10:$E$34,5,FALSE)="Alaska Native Tribal Hospital",0,VLOOKUP(A27,Model!$A$10:$M$34,12,FALSE))</f>
        <v>21962</v>
      </c>
      <c r="G27" s="93">
        <f>IF(VLOOKUP(A27,Model!$A$10:$E$34,5,FALSE)="Alaska Native Tribal Hospital",0,VLOOKUP(A27,Data!A:DM,$F$6,FALSE))</f>
        <v>21957</v>
      </c>
      <c r="H27" s="410">
        <f t="shared" si="0"/>
        <v>0.11528981912388872</v>
      </c>
      <c r="I27" s="410">
        <f t="shared" si="1"/>
        <v>0.11253042297543105</v>
      </c>
      <c r="J27" s="411"/>
      <c r="K27" s="413"/>
      <c r="L27" s="413"/>
    </row>
    <row r="28" spans="1:12" ht="12.75">
      <c r="A28" s="85" t="s">
        <v>20</v>
      </c>
      <c r="B28" s="86">
        <f>_xlfn.IFERROR(VLOOKUP(A28,Data!A:BL,2,FALSE),"")</f>
        <v>1005540</v>
      </c>
      <c r="C28" s="87" t="str">
        <f>_xlfn.IFERROR(VLOOKUP(A28,Data!A:BL,3,FALSE),"")</f>
        <v>Alaska Psychiatric Institute</v>
      </c>
      <c r="D28" s="87" t="str">
        <f>VLOOKUP(A28,Model!A:F,6,FALSE)</f>
        <v>Exempt</v>
      </c>
      <c r="E28" s="100">
        <f>IF(VLOOKUP(A28,Model!$A$10:$E$34,5,FALSE)="Alaska Native Tribal Hospital",0,VLOOKUP(A28,Data!A:DM,$E$6,FALSE))</f>
        <v>21108</v>
      </c>
      <c r="F28" s="100">
        <f>IF(VLOOKUP(A28,Model!$A$10:$E$34,5,FALSE)="Alaska Native Tribal Hospital",0,VLOOKUP(A28,Model!$A$10:$M$34,12,FALSE))</f>
        <v>0</v>
      </c>
      <c r="G28" s="100">
        <f>IF(VLOOKUP(A28,Model!$A$10:$E$34,5,FALSE)="Alaska Native Tribal Hospital",0,VLOOKUP(A28,Data!A:DM,$F$6,FALSE))</f>
        <v>2319</v>
      </c>
      <c r="H28" s="414">
        <f t="shared" si="0"/>
        <v>0.0831069429023647</v>
      </c>
      <c r="I28" s="414">
        <f t="shared" si="1"/>
        <v>0</v>
      </c>
      <c r="J28" s="415"/>
      <c r="K28" s="416"/>
      <c r="L28" s="416"/>
    </row>
    <row r="29" spans="5:12" ht="12.75">
      <c r="E29" s="93">
        <f>SUM(E11:E28)</f>
        <v>253986</v>
      </c>
      <c r="F29" s="93">
        <f>SUM(F11:F28)</f>
        <v>195165</v>
      </c>
      <c r="G29" s="93">
        <f>SUM(G11:G28)</f>
        <v>65644</v>
      </c>
      <c r="H29" s="410">
        <f>SUM(H11:H28)</f>
        <v>1</v>
      </c>
      <c r="I29" s="410">
        <f>SUM(I11:I28)</f>
        <v>1</v>
      </c>
      <c r="J29" s="417">
        <f>SLOPE(H11:H28,G11:G28)</f>
        <v>1.1161150671813583E-05</v>
      </c>
      <c r="K29" s="418">
        <f>SLOPE(I11:I28,G11:G28)</f>
        <v>1.0919332984341935E-05</v>
      </c>
      <c r="L29" s="419">
        <f>J29/K29</f>
        <v>1.022145829586698</v>
      </c>
    </row>
    <row r="30" spans="8:12" ht="12.75">
      <c r="H30" s="94"/>
      <c r="I30" s="94"/>
      <c r="J30" s="94"/>
      <c r="K30" s="94"/>
      <c r="L30" s="94"/>
    </row>
  </sheetData>
  <sheetProtection password="EE05" sheet="1" objects="1" scenarios="1"/>
  <printOptions/>
  <pageMargins left="0.32" right="0.26" top="0.75" bottom="0.75" header="0.3" footer="0.3"/>
  <pageSetup fitToHeight="0" fitToWidth="1" horizontalDpi="600" verticalDpi="600" orientation="landscape" scale="65" r:id="rId1"/>
  <headerFooter>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A1" sqref="A1"/>
    </sheetView>
  </sheetViews>
  <sheetFormatPr defaultColWidth="9.140625" defaultRowHeight="15"/>
  <cols>
    <col min="1" max="1" width="9.57421875" style="5" customWidth="1"/>
    <col min="2" max="2" width="9.28125" style="5" bestFit="1" customWidth="1"/>
    <col min="3" max="3" width="36.8515625" style="5" bestFit="1" customWidth="1"/>
    <col min="4" max="4" width="10.00390625" style="5" bestFit="1" customWidth="1"/>
    <col min="5" max="7" width="14.00390625" style="5" bestFit="1" customWidth="1"/>
    <col min="8" max="9" width="11.00390625" style="5" bestFit="1" customWidth="1"/>
    <col min="10" max="11" width="11.140625" style="5" bestFit="1" customWidth="1"/>
    <col min="12" max="12" width="11.421875" style="5" bestFit="1" customWidth="1"/>
    <col min="13" max="16384" width="9.140625" style="5" customWidth="1"/>
  </cols>
  <sheetData>
    <row r="1" spans="1:10" ht="20.25">
      <c r="A1" s="42" t="s">
        <v>336</v>
      </c>
      <c r="E1" s="38" t="s">
        <v>342</v>
      </c>
      <c r="F1" s="39">
        <f>'Parameters and Analysis'!C3</f>
        <v>42433</v>
      </c>
      <c r="G1" s="21"/>
      <c r="H1" s="37"/>
      <c r="J1" s="6"/>
    </row>
    <row r="2" spans="1:10" ht="12.75">
      <c r="A2" s="1"/>
      <c r="E2" s="38" t="s">
        <v>343</v>
      </c>
      <c r="F2" s="40">
        <f>'Parameters and Analysis'!C4</f>
        <v>2</v>
      </c>
      <c r="G2" s="22"/>
      <c r="H2" s="23"/>
      <c r="I2" s="23"/>
      <c r="J2" s="23"/>
    </row>
    <row r="3" spans="5:10" ht="12.75">
      <c r="E3" s="14"/>
      <c r="F3" s="15"/>
      <c r="G3" s="24"/>
      <c r="H3" s="23"/>
      <c r="I3" s="23"/>
      <c r="J3" s="23"/>
    </row>
    <row r="4" spans="1:10" ht="15.75">
      <c r="A4" s="41" t="s">
        <v>350</v>
      </c>
      <c r="E4" s="14"/>
      <c r="F4" s="15"/>
      <c r="G4" s="22"/>
      <c r="H4" s="25"/>
      <c r="I4" s="26"/>
      <c r="J4" s="26"/>
    </row>
    <row r="5" spans="1:6" ht="12.75">
      <c r="A5" s="7"/>
      <c r="E5" s="11" t="s">
        <v>217</v>
      </c>
      <c r="F5" s="11" t="s">
        <v>219</v>
      </c>
    </row>
    <row r="6" spans="1:6" ht="12.75">
      <c r="A6" s="9" t="s">
        <v>179</v>
      </c>
      <c r="C6" s="5">
        <f>Model!C7</f>
        <v>0</v>
      </c>
      <c r="E6" s="32">
        <f>_xlfn.IFERROR(HLOOKUP(CONCATENATE("OP","-",LEFT(C6,1)),Data!A1:DM2,2,FALSE),0)</f>
        <v>0</v>
      </c>
      <c r="F6" s="33">
        <f>IF(E6=77,78,IF(E6=76,85,IF(E6=80,87,0)))</f>
        <v>0</v>
      </c>
    </row>
    <row r="7" ht="12.75">
      <c r="A7" s="7"/>
    </row>
    <row r="8" spans="1:12" ht="12.75">
      <c r="A8" s="6" t="s">
        <v>123</v>
      </c>
      <c r="B8" s="6" t="s">
        <v>124</v>
      </c>
      <c r="C8" s="6" t="s">
        <v>125</v>
      </c>
      <c r="D8" s="6" t="s">
        <v>126</v>
      </c>
      <c r="E8" s="6" t="s">
        <v>127</v>
      </c>
      <c r="F8" s="6" t="s">
        <v>128</v>
      </c>
      <c r="G8" s="6" t="s">
        <v>129</v>
      </c>
      <c r="H8" s="6" t="s">
        <v>130</v>
      </c>
      <c r="I8" s="6" t="s">
        <v>131</v>
      </c>
      <c r="J8" s="6" t="s">
        <v>207</v>
      </c>
      <c r="K8" s="6" t="s">
        <v>133</v>
      </c>
      <c r="L8" s="6" t="s">
        <v>134</v>
      </c>
    </row>
    <row r="9" spans="1:12" ht="12.75">
      <c r="A9" s="6"/>
      <c r="B9" s="6"/>
      <c r="C9" s="6"/>
      <c r="D9" s="6"/>
      <c r="E9" s="6"/>
      <c r="F9" s="6"/>
      <c r="G9" s="6"/>
      <c r="H9" s="6"/>
      <c r="I9" s="6"/>
      <c r="J9" s="6"/>
      <c r="K9" s="6"/>
      <c r="L9" s="6"/>
    </row>
    <row r="10" spans="1:12" ht="54.75" customHeight="1" thickBot="1">
      <c r="A10" s="10" t="s">
        <v>56</v>
      </c>
      <c r="B10" s="10" t="s">
        <v>57</v>
      </c>
      <c r="C10" s="10" t="s">
        <v>0</v>
      </c>
      <c r="D10" s="10" t="s">
        <v>135</v>
      </c>
      <c r="E10" s="10" t="s">
        <v>226</v>
      </c>
      <c r="F10" s="10" t="s">
        <v>200</v>
      </c>
      <c r="G10" s="10" t="s">
        <v>218</v>
      </c>
      <c r="H10" s="10" t="s">
        <v>220</v>
      </c>
      <c r="I10" s="10" t="s">
        <v>221</v>
      </c>
      <c r="J10" s="10" t="s">
        <v>222</v>
      </c>
      <c r="K10" s="10" t="s">
        <v>223</v>
      </c>
      <c r="L10" s="10" t="s">
        <v>224</v>
      </c>
    </row>
    <row r="11" spans="1:12" ht="12.75">
      <c r="A11" s="3" t="s">
        <v>10</v>
      </c>
      <c r="B11" s="4">
        <f>_xlfn.IFERROR(VLOOKUP(A11,Data!A:BL,2,FALSE),"")</f>
        <v>1005630</v>
      </c>
      <c r="C11" s="2" t="str">
        <f>_xlfn.IFERROR(VLOOKUP(A11,Data!A:BL,3,FALSE),"")</f>
        <v>Providence Alaska Medical Center</v>
      </c>
      <c r="D11" s="2" t="str">
        <f>VLOOKUP(A11,Model!A:F,6,FALSE)</f>
        <v>Included</v>
      </c>
      <c r="E11" s="12">
        <f>_xlfn.IFERROR(IF(VLOOKUP(A11,Model!$A$10:$E$34,5,FALSE)="Alaska Native Tribal Hospital",0,VLOOKUP(A11,Data!A:CB,$E$6,FALSE)),0)</f>
        <v>0</v>
      </c>
      <c r="F11" s="12">
        <f>_xlfn.IFERROR(IF(VLOOKUP(A11,Model!$A$10:$E$34,5,FALSE)="Alaska Native Tribal Hospital",0,VLOOKUP(A11,Model!$A$10:$M$34,13,FALSE)),0)</f>
        <v>0</v>
      </c>
      <c r="G11" s="12">
        <f>_xlfn.IFERROR(IF(VLOOKUP(A11,Model!$A$10:$E$34,5,FALSE)="Alaska Native Tribal Hospital",0,VLOOKUP(A11,Data!A:CJ,$F$6,FALSE)),0)</f>
        <v>0</v>
      </c>
      <c r="H11" s="27">
        <f aca="true" t="shared" si="0" ref="H11:H28">_xlfn.IFERROR(E11/$E$29,0)</f>
        <v>0</v>
      </c>
      <c r="I11" s="27">
        <f aca="true" t="shared" si="1" ref="I11:I28">_xlfn.IFERROR(F11/$F$29,0)</f>
        <v>0</v>
      </c>
      <c r="J11" s="16"/>
      <c r="K11" s="17"/>
      <c r="L11" s="17"/>
    </row>
    <row r="12" spans="1:12" ht="12.75">
      <c r="A12" s="3" t="s">
        <v>14</v>
      </c>
      <c r="B12" s="4">
        <f>_xlfn.IFERROR(VLOOKUP(A12,Data!A:BL,2,FALSE),"")</f>
        <v>1006079</v>
      </c>
      <c r="C12" s="2" t="str">
        <f>_xlfn.IFERROR(VLOOKUP(A12,Data!A:BL,3,FALSE),"")</f>
        <v>Mat-Su Regional Medical Center</v>
      </c>
      <c r="D12" s="2" t="str">
        <f>VLOOKUP(A12,Model!A:F,6,FALSE)</f>
        <v>Included</v>
      </c>
      <c r="E12" s="12">
        <f>_xlfn.IFERROR(IF(VLOOKUP(A12,Model!$A$10:$E$34,5,FALSE)="Alaska Native Tribal Hospital",0,VLOOKUP(A12,Data!A:CB,$E$6,FALSE)),0)</f>
        <v>0</v>
      </c>
      <c r="F12" s="12">
        <f>_xlfn.IFERROR(IF(VLOOKUP(A12,Model!$A$10:$E$34,5,FALSE)="Alaska Native Tribal Hospital",0,VLOOKUP(A12,Model!$A$10:$M$34,13,FALSE)),0)</f>
        <v>0</v>
      </c>
      <c r="G12" s="12">
        <f>_xlfn.IFERROR(IF(VLOOKUP(A12,Model!$A$10:$E$34,5,FALSE)="Alaska Native Tribal Hospital",0,VLOOKUP(A12,Data!A:CJ,$F$6,FALSE)),0)</f>
        <v>0</v>
      </c>
      <c r="H12" s="27">
        <f t="shared" si="0"/>
        <v>0</v>
      </c>
      <c r="I12" s="27">
        <f t="shared" si="1"/>
        <v>0</v>
      </c>
      <c r="J12" s="16"/>
      <c r="K12" s="18"/>
      <c r="L12" s="18"/>
    </row>
    <row r="13" spans="1:12" ht="12.75">
      <c r="A13" s="3" t="s">
        <v>5</v>
      </c>
      <c r="B13" s="4">
        <f>_xlfn.IFERROR(VLOOKUP(A13,Data!A:BL,2,FALSE),"")</f>
        <v>1005539</v>
      </c>
      <c r="C13" s="2" t="str">
        <f>_xlfn.IFERROR(VLOOKUP(A13,Data!A:BL,3,FALSE),"")</f>
        <v>Bartlett Regional Hospital</v>
      </c>
      <c r="D13" s="2" t="str">
        <f>VLOOKUP(A13,Model!A:F,6,FALSE)</f>
        <v>Included</v>
      </c>
      <c r="E13" s="12">
        <f>_xlfn.IFERROR(IF(VLOOKUP(A13,Model!$A$10:$E$34,5,FALSE)="Alaska Native Tribal Hospital",0,VLOOKUP(A13,Data!A:CB,$E$6,FALSE)),0)</f>
        <v>0</v>
      </c>
      <c r="F13" s="12">
        <f>_xlfn.IFERROR(IF(VLOOKUP(A13,Model!$A$10:$E$34,5,FALSE)="Alaska Native Tribal Hospital",0,VLOOKUP(A13,Model!$A$10:$M$34,13,FALSE)),0)</f>
        <v>0</v>
      </c>
      <c r="G13" s="12">
        <f>_xlfn.IFERROR(IF(VLOOKUP(A13,Model!$A$10:$E$34,5,FALSE)="Alaska Native Tribal Hospital",0,VLOOKUP(A13,Data!A:CJ,$F$6,FALSE)),0)</f>
        <v>0</v>
      </c>
      <c r="H13" s="27">
        <f t="shared" si="0"/>
        <v>0</v>
      </c>
      <c r="I13" s="27">
        <f t="shared" si="1"/>
        <v>0</v>
      </c>
      <c r="J13" s="16"/>
      <c r="K13" s="18"/>
      <c r="L13" s="18"/>
    </row>
    <row r="14" spans="1:12" ht="12.75">
      <c r="A14" s="3" t="s">
        <v>7</v>
      </c>
      <c r="B14" s="4">
        <f>_xlfn.IFERROR(VLOOKUP(A14,Data!A:BL,2,FALSE),"")</f>
        <v>1005551</v>
      </c>
      <c r="C14" s="2" t="str">
        <f>_xlfn.IFERROR(VLOOKUP(A14,Data!A:BL,3,FALSE),"")</f>
        <v>Fairbanks Memorial Hospital</v>
      </c>
      <c r="D14" s="2" t="str">
        <f>VLOOKUP(A14,Model!A:F,6,FALSE)</f>
        <v>Included</v>
      </c>
      <c r="E14" s="12">
        <f>_xlfn.IFERROR(IF(VLOOKUP(A14,Model!$A$10:$E$34,5,FALSE)="Alaska Native Tribal Hospital",0,VLOOKUP(A14,Data!A:CB,$E$6,FALSE)),0)</f>
        <v>0</v>
      </c>
      <c r="F14" s="12">
        <f>_xlfn.IFERROR(IF(VLOOKUP(A14,Model!$A$10:$E$34,5,FALSE)="Alaska Native Tribal Hospital",0,VLOOKUP(A14,Model!$A$10:$M$34,13,FALSE)),0)</f>
        <v>0</v>
      </c>
      <c r="G14" s="12">
        <f>_xlfn.IFERROR(IF(VLOOKUP(A14,Model!$A$10:$E$34,5,FALSE)="Alaska Native Tribal Hospital",0,VLOOKUP(A14,Data!A:CJ,$F$6,FALSE)),0)</f>
        <v>0</v>
      </c>
      <c r="H14" s="27">
        <f t="shared" si="0"/>
        <v>0</v>
      </c>
      <c r="I14" s="27">
        <f t="shared" si="1"/>
        <v>0</v>
      </c>
      <c r="J14" s="16"/>
      <c r="K14" s="18"/>
      <c r="L14" s="18"/>
    </row>
    <row r="15" spans="1:12" ht="12.75">
      <c r="A15" s="3" t="s">
        <v>4</v>
      </c>
      <c r="B15" s="4">
        <f>_xlfn.IFERROR(VLOOKUP(A15,Data!A:BL,2,FALSE),"")</f>
        <v>1005744</v>
      </c>
      <c r="C15" s="2" t="str">
        <f>_xlfn.IFERROR(VLOOKUP(A15,Data!A:BL,3,FALSE),"")</f>
        <v>Alaska Regional Hospital</v>
      </c>
      <c r="D15" s="2" t="str">
        <f>VLOOKUP(A15,Model!A:F,6,FALSE)</f>
        <v>Included</v>
      </c>
      <c r="E15" s="12">
        <f>_xlfn.IFERROR(IF(VLOOKUP(A15,Model!$A$10:$E$34,5,FALSE)="Alaska Native Tribal Hospital",0,VLOOKUP(A15,Data!A:CB,$E$6,FALSE)),0)</f>
        <v>0</v>
      </c>
      <c r="F15" s="12">
        <f>_xlfn.IFERROR(IF(VLOOKUP(A15,Model!$A$10:$E$34,5,FALSE)="Alaska Native Tribal Hospital",0,VLOOKUP(A15,Model!$A$10:$M$34,13,FALSE)),0)</f>
        <v>0</v>
      </c>
      <c r="G15" s="12">
        <f>_xlfn.IFERROR(IF(VLOOKUP(A15,Model!$A$10:$E$34,5,FALSE)="Alaska Native Tribal Hospital",0,VLOOKUP(A15,Data!A:CJ,$F$6,FALSE)),0)</f>
        <v>0</v>
      </c>
      <c r="H15" s="27">
        <f t="shared" si="0"/>
        <v>0</v>
      </c>
      <c r="I15" s="27">
        <f t="shared" si="1"/>
        <v>0</v>
      </c>
      <c r="J15" s="16"/>
      <c r="K15" s="18"/>
      <c r="L15" s="18"/>
    </row>
    <row r="16" spans="1:12" ht="12.75">
      <c r="A16" s="3" t="s">
        <v>6</v>
      </c>
      <c r="B16" s="4">
        <f>_xlfn.IFERROR(VLOOKUP(A16,Data!A:BL,2,FALSE),"")</f>
        <v>1005528</v>
      </c>
      <c r="C16" s="2" t="str">
        <f>_xlfn.IFERROR(VLOOKUP(A16,Data!A:BL,3,FALSE),"")</f>
        <v>Central Peninsula General Hospital</v>
      </c>
      <c r="D16" s="2" t="str">
        <f>VLOOKUP(A16,Model!A:F,6,FALSE)</f>
        <v>Included</v>
      </c>
      <c r="E16" s="12">
        <f>_xlfn.IFERROR(IF(VLOOKUP(A16,Model!$A$10:$E$34,5,FALSE)="Alaska Native Tribal Hospital",0,VLOOKUP(A16,Data!A:CB,$E$6,FALSE)),0)</f>
        <v>0</v>
      </c>
      <c r="F16" s="12">
        <f>_xlfn.IFERROR(IF(VLOOKUP(A16,Model!$A$10:$E$34,5,FALSE)="Alaska Native Tribal Hospital",0,VLOOKUP(A16,Model!$A$10:$M$34,13,FALSE)),0)</f>
        <v>0</v>
      </c>
      <c r="G16" s="12">
        <f>_xlfn.IFERROR(IF(VLOOKUP(A16,Model!$A$10:$E$34,5,FALSE)="Alaska Native Tribal Hospital",0,VLOOKUP(A16,Data!A:CJ,$F$6,FALSE)),0)</f>
        <v>0</v>
      </c>
      <c r="H16" s="27">
        <f t="shared" si="0"/>
        <v>0</v>
      </c>
      <c r="I16" s="27">
        <f t="shared" si="1"/>
        <v>0</v>
      </c>
      <c r="J16" s="16"/>
      <c r="K16" s="18"/>
      <c r="L16" s="18"/>
    </row>
    <row r="17" spans="1:12" ht="12.75">
      <c r="A17" s="3" t="s">
        <v>19</v>
      </c>
      <c r="B17" s="4">
        <f>_xlfn.IFERROR(VLOOKUP(A17,Data!A:BL,2,FALSE),"")</f>
        <v>1005536</v>
      </c>
      <c r="C17" s="2" t="str">
        <f>_xlfn.IFERROR(VLOOKUP(A17,Data!A:BL,3,FALSE),"")</f>
        <v>Providence Valdez Medical Ctr.</v>
      </c>
      <c r="D17" s="2" t="str">
        <f>VLOOKUP(A17,Model!A:F,6,FALSE)</f>
        <v>Included</v>
      </c>
      <c r="E17" s="12">
        <f>_xlfn.IFERROR(IF(VLOOKUP(A17,Model!$A$10:$E$34,5,FALSE)="Alaska Native Tribal Hospital",0,VLOOKUP(A17,Data!A:CB,$E$6,FALSE)),0)</f>
        <v>0</v>
      </c>
      <c r="F17" s="12">
        <f>_xlfn.IFERROR(IF(VLOOKUP(A17,Model!$A$10:$E$34,5,FALSE)="Alaska Native Tribal Hospital",0,VLOOKUP(A17,Model!$A$10:$M$34,13,FALSE)),0)</f>
        <v>0</v>
      </c>
      <c r="G17" s="12">
        <f>_xlfn.IFERROR(IF(VLOOKUP(A17,Model!$A$10:$E$34,5,FALSE)="Alaska Native Tribal Hospital",0,VLOOKUP(A17,Data!A:CJ,$F$6,FALSE)),0)</f>
        <v>0</v>
      </c>
      <c r="H17" s="27">
        <f t="shared" si="0"/>
        <v>0</v>
      </c>
      <c r="I17" s="27">
        <f t="shared" si="1"/>
        <v>0</v>
      </c>
      <c r="J17" s="16"/>
      <c r="K17" s="18"/>
      <c r="L17" s="18"/>
    </row>
    <row r="18" spans="1:12" ht="12.75">
      <c r="A18" s="3" t="s">
        <v>16</v>
      </c>
      <c r="B18" s="4">
        <f>_xlfn.IFERROR(VLOOKUP(A18,Data!A:BL,2,FALSE),"")</f>
        <v>1006087</v>
      </c>
      <c r="C18" s="2" t="str">
        <f>_xlfn.IFERROR(VLOOKUP(A18,Data!A:BL,3,FALSE),"")</f>
        <v>Providence Seward Medical &amp; Care Center</v>
      </c>
      <c r="D18" s="2" t="str">
        <f>VLOOKUP(A18,Model!A:F,6,FALSE)</f>
        <v>Included</v>
      </c>
      <c r="E18" s="12">
        <f>_xlfn.IFERROR(IF(VLOOKUP(A18,Model!$A$10:$E$34,5,FALSE)="Alaska Native Tribal Hospital",0,VLOOKUP(A18,Data!A:CB,$E$6,FALSE)),0)</f>
        <v>0</v>
      </c>
      <c r="F18" s="12">
        <f>_xlfn.IFERROR(IF(VLOOKUP(A18,Model!$A$10:$E$34,5,FALSE)="Alaska Native Tribal Hospital",0,VLOOKUP(A18,Model!$A$10:$M$34,13,FALSE)),0)</f>
        <v>0</v>
      </c>
      <c r="G18" s="12">
        <f>_xlfn.IFERROR(IF(VLOOKUP(A18,Model!$A$10:$E$34,5,FALSE)="Alaska Native Tribal Hospital",0,VLOOKUP(A18,Data!A:CJ,$F$6,FALSE)),0)</f>
        <v>0</v>
      </c>
      <c r="H18" s="27">
        <f t="shared" si="0"/>
        <v>0</v>
      </c>
      <c r="I18" s="27">
        <f t="shared" si="1"/>
        <v>0</v>
      </c>
      <c r="J18" s="16"/>
      <c r="K18" s="18"/>
      <c r="L18" s="18"/>
    </row>
    <row r="19" spans="1:12" ht="12.75">
      <c r="A19" s="3" t="s">
        <v>12</v>
      </c>
      <c r="B19" s="4">
        <f>_xlfn.IFERROR(VLOOKUP(A19,Data!A:BL,2,FALSE),"")</f>
        <v>1005674</v>
      </c>
      <c r="C19" s="2" t="str">
        <f>_xlfn.IFERROR(VLOOKUP(A19,Data!A:BL,3,FALSE),"")</f>
        <v>Sitka Community Hospital</v>
      </c>
      <c r="D19" s="2" t="str">
        <f>VLOOKUP(A19,Model!A:F,6,FALSE)</f>
        <v>Included</v>
      </c>
      <c r="E19" s="12">
        <f>_xlfn.IFERROR(IF(VLOOKUP(A19,Model!$A$10:$E$34,5,FALSE)="Alaska Native Tribal Hospital",0,VLOOKUP(A19,Data!A:CB,$E$6,FALSE)),0)</f>
        <v>0</v>
      </c>
      <c r="F19" s="12">
        <f>_xlfn.IFERROR(IF(VLOOKUP(A19,Model!$A$10:$E$34,5,FALSE)="Alaska Native Tribal Hospital",0,VLOOKUP(A19,Model!$A$10:$M$34,13,FALSE)),0)</f>
        <v>0</v>
      </c>
      <c r="G19" s="12">
        <f>_xlfn.IFERROR(IF(VLOOKUP(A19,Model!$A$10:$E$34,5,FALSE)="Alaska Native Tribal Hospital",0,VLOOKUP(A19,Data!A:CJ,$F$6,FALSE)),0)</f>
        <v>0</v>
      </c>
      <c r="H19" s="27">
        <f t="shared" si="0"/>
        <v>0</v>
      </c>
      <c r="I19" s="27">
        <f t="shared" si="1"/>
        <v>0</v>
      </c>
      <c r="J19" s="16"/>
      <c r="K19" s="18"/>
      <c r="L19" s="18"/>
    </row>
    <row r="20" spans="1:12" ht="12.75">
      <c r="A20" s="3" t="s">
        <v>9</v>
      </c>
      <c r="B20" s="4">
        <f>_xlfn.IFERROR(VLOOKUP(A20,Data!A:BL,2,FALSE),"")</f>
        <v>1005609</v>
      </c>
      <c r="C20" s="2" t="str">
        <f>_xlfn.IFERROR(VLOOKUP(A20,Data!A:BL,3,FALSE),"")</f>
        <v>Petersburg Medical Center</v>
      </c>
      <c r="D20" s="2" t="str">
        <f>VLOOKUP(A20,Model!A:F,6,FALSE)</f>
        <v>Included</v>
      </c>
      <c r="E20" s="12">
        <f>_xlfn.IFERROR(IF(VLOOKUP(A20,Model!$A$10:$E$34,5,FALSE)="Alaska Native Tribal Hospital",0,VLOOKUP(A20,Data!A:CB,$E$6,FALSE)),0)</f>
        <v>0</v>
      </c>
      <c r="F20" s="12">
        <f>_xlfn.IFERROR(IF(VLOOKUP(A20,Model!$A$10:$E$34,5,FALSE)="Alaska Native Tribal Hospital",0,VLOOKUP(A20,Model!$A$10:$M$34,13,FALSE)),0)</f>
        <v>0</v>
      </c>
      <c r="G20" s="12">
        <f>_xlfn.IFERROR(IF(VLOOKUP(A20,Model!$A$10:$E$34,5,FALSE)="Alaska Native Tribal Hospital",0,VLOOKUP(A20,Data!A:CJ,$F$6,FALSE)),0)</f>
        <v>0</v>
      </c>
      <c r="H20" s="27">
        <f t="shared" si="0"/>
        <v>0</v>
      </c>
      <c r="I20" s="27">
        <f t="shared" si="1"/>
        <v>0</v>
      </c>
      <c r="J20" s="16"/>
      <c r="K20" s="18"/>
      <c r="L20" s="18"/>
    </row>
    <row r="21" spans="1:12" ht="12.75">
      <c r="A21" s="3" t="s">
        <v>17</v>
      </c>
      <c r="B21" s="4">
        <f>_xlfn.IFERROR(VLOOKUP(A21,Data!A:BL,2,FALSE),"")</f>
        <v>1005584</v>
      </c>
      <c r="C21" s="2" t="str">
        <f>_xlfn.IFERROR(VLOOKUP(A21,Data!A:BL,3,FALSE),"")</f>
        <v>Wrangell Medical Center</v>
      </c>
      <c r="D21" s="2" t="str">
        <f>VLOOKUP(A21,Model!A:F,6,FALSE)</f>
        <v>Included</v>
      </c>
      <c r="E21" s="12">
        <f>_xlfn.IFERROR(IF(VLOOKUP(A21,Model!$A$10:$E$34,5,FALSE)="Alaska Native Tribal Hospital",0,VLOOKUP(A21,Data!A:CB,$E$6,FALSE)),0)</f>
        <v>0</v>
      </c>
      <c r="F21" s="12">
        <f>_xlfn.IFERROR(IF(VLOOKUP(A21,Model!$A$10:$E$34,5,FALSE)="Alaska Native Tribal Hospital",0,VLOOKUP(A21,Model!$A$10:$M$34,13,FALSE)),0)</f>
        <v>0</v>
      </c>
      <c r="G21" s="12">
        <f>_xlfn.IFERROR(IF(VLOOKUP(A21,Model!$A$10:$E$34,5,FALSE)="Alaska Native Tribal Hospital",0,VLOOKUP(A21,Data!A:CJ,$F$6,FALSE)),0)</f>
        <v>0</v>
      </c>
      <c r="H21" s="27">
        <f t="shared" si="0"/>
        <v>0</v>
      </c>
      <c r="I21" s="27">
        <f t="shared" si="1"/>
        <v>0</v>
      </c>
      <c r="J21" s="16"/>
      <c r="K21" s="18"/>
      <c r="L21" s="18"/>
    </row>
    <row r="22" spans="1:12" ht="12.75">
      <c r="A22" s="3" t="s">
        <v>11</v>
      </c>
      <c r="B22" s="4">
        <f>_xlfn.IFERROR(VLOOKUP(A22,Data!A:BL,2,FALSE),"")</f>
        <v>1005622</v>
      </c>
      <c r="C22" s="2" t="str">
        <f>_xlfn.IFERROR(VLOOKUP(A22,Data!A:BL,3,FALSE),"")</f>
        <v>Providence Kodiak Island Medical Center</v>
      </c>
      <c r="D22" s="2" t="str">
        <f>VLOOKUP(A22,Model!A:F,6,FALSE)</f>
        <v>Included</v>
      </c>
      <c r="E22" s="12">
        <f>_xlfn.IFERROR(IF(VLOOKUP(A22,Model!$A$10:$E$34,5,FALSE)="Alaska Native Tribal Hospital",0,VLOOKUP(A22,Data!A:CB,$E$6,FALSE)),0)</f>
        <v>0</v>
      </c>
      <c r="F22" s="12">
        <f>_xlfn.IFERROR(IF(VLOOKUP(A22,Model!$A$10:$E$34,5,FALSE)="Alaska Native Tribal Hospital",0,VLOOKUP(A22,Model!$A$10:$M$34,13,FALSE)),0)</f>
        <v>0</v>
      </c>
      <c r="G22" s="12">
        <f>_xlfn.IFERROR(IF(VLOOKUP(A22,Model!$A$10:$E$34,5,FALSE)="Alaska Native Tribal Hospital",0,VLOOKUP(A22,Data!A:CJ,$F$6,FALSE)),0)</f>
        <v>0</v>
      </c>
      <c r="H22" s="27">
        <f t="shared" si="0"/>
        <v>0</v>
      </c>
      <c r="I22" s="27">
        <f t="shared" si="1"/>
        <v>0</v>
      </c>
      <c r="J22" s="16"/>
      <c r="K22" s="18"/>
      <c r="L22" s="18"/>
    </row>
    <row r="23" spans="1:12" ht="12.75">
      <c r="A23" s="3" t="s">
        <v>18</v>
      </c>
      <c r="B23" s="4">
        <f>_xlfn.IFERROR(VLOOKUP(A23,Data!A:BL,2,FALSE),"")</f>
        <v>1005594</v>
      </c>
      <c r="C23" s="2" t="str">
        <f>_xlfn.IFERROR(VLOOKUP(A23,Data!A:BL,3,FALSE),"")</f>
        <v>Cordova Community Medical Ctr.</v>
      </c>
      <c r="D23" s="2" t="str">
        <f>VLOOKUP(A23,Model!A:F,6,FALSE)</f>
        <v>Included</v>
      </c>
      <c r="E23" s="12">
        <f>_xlfn.IFERROR(IF(VLOOKUP(A23,Model!$A$10:$E$34,5,FALSE)="Alaska Native Tribal Hospital",0,VLOOKUP(A23,Data!A:CB,$E$6,FALSE)),0)</f>
        <v>0</v>
      </c>
      <c r="F23" s="12">
        <f>_xlfn.IFERROR(IF(VLOOKUP(A23,Model!$A$10:$E$34,5,FALSE)="Alaska Native Tribal Hospital",0,VLOOKUP(A23,Model!$A$10:$M$34,13,FALSE)),0)</f>
        <v>0</v>
      </c>
      <c r="G23" s="12">
        <f>_xlfn.IFERROR(IF(VLOOKUP(A23,Model!$A$10:$E$34,5,FALSE)="Alaska Native Tribal Hospital",0,VLOOKUP(A23,Data!A:CJ,$F$6,FALSE)),0)</f>
        <v>0</v>
      </c>
      <c r="H23" s="27">
        <f t="shared" si="0"/>
        <v>0</v>
      </c>
      <c r="I23" s="27">
        <f t="shared" si="1"/>
        <v>0</v>
      </c>
      <c r="J23" s="16"/>
      <c r="K23" s="18"/>
      <c r="L23" s="18"/>
    </row>
    <row r="24" spans="1:12" ht="12.75">
      <c r="A24" s="3" t="s">
        <v>8</v>
      </c>
      <c r="B24" s="4">
        <f>_xlfn.IFERROR(VLOOKUP(A24,Data!A:BL,2,FALSE),"")</f>
        <v>1005563</v>
      </c>
      <c r="C24" s="2" t="str">
        <f>_xlfn.IFERROR(VLOOKUP(A24,Data!A:BL,3,FALSE),"")</f>
        <v>PeaceHealth Ketchikan Medical Center</v>
      </c>
      <c r="D24" s="2" t="str">
        <f>VLOOKUP(A24,Model!A:F,6,FALSE)</f>
        <v>Included</v>
      </c>
      <c r="E24" s="12">
        <f>_xlfn.IFERROR(IF(VLOOKUP(A24,Model!$A$10:$E$34,5,FALSE)="Alaska Native Tribal Hospital",0,VLOOKUP(A24,Data!A:CB,$E$6,FALSE)),0)</f>
        <v>0</v>
      </c>
      <c r="F24" s="12">
        <f>_xlfn.IFERROR(IF(VLOOKUP(A24,Model!$A$10:$E$34,5,FALSE)="Alaska Native Tribal Hospital",0,VLOOKUP(A24,Model!$A$10:$M$34,13,FALSE)),0)</f>
        <v>0</v>
      </c>
      <c r="G24" s="12">
        <f>_xlfn.IFERROR(IF(VLOOKUP(A24,Model!$A$10:$E$34,5,FALSE)="Alaska Native Tribal Hospital",0,VLOOKUP(A24,Data!A:CJ,$F$6,FALSE)),0)</f>
        <v>0</v>
      </c>
      <c r="H24" s="27">
        <f t="shared" si="0"/>
        <v>0</v>
      </c>
      <c r="I24" s="27">
        <f t="shared" si="1"/>
        <v>0</v>
      </c>
      <c r="J24" s="16"/>
      <c r="K24" s="18"/>
      <c r="L24" s="18"/>
    </row>
    <row r="25" spans="1:12" ht="12.75">
      <c r="A25" s="3" t="s">
        <v>13</v>
      </c>
      <c r="B25" s="4">
        <f>_xlfn.IFERROR(VLOOKUP(A25,Data!A:BL,2,FALSE),"")</f>
        <v>1005653</v>
      </c>
      <c r="C25" s="2" t="str">
        <f>_xlfn.IFERROR(VLOOKUP(A25,Data!A:BL,3,FALSE),"")</f>
        <v>South Peninsula Hospital</v>
      </c>
      <c r="D25" s="2" t="str">
        <f>VLOOKUP(A25,Model!A:F,6,FALSE)</f>
        <v>Included</v>
      </c>
      <c r="E25" s="12">
        <f>_xlfn.IFERROR(IF(VLOOKUP(A25,Model!$A$10:$E$34,5,FALSE)="Alaska Native Tribal Hospital",0,VLOOKUP(A25,Data!A:CB,$E$6,FALSE)),0)</f>
        <v>0</v>
      </c>
      <c r="F25" s="12">
        <f>_xlfn.IFERROR(IF(VLOOKUP(A25,Model!$A$10:$E$34,5,FALSE)="Alaska Native Tribal Hospital",0,VLOOKUP(A25,Model!$A$10:$M$34,13,FALSE)),0)</f>
        <v>0</v>
      </c>
      <c r="G25" s="12">
        <f>_xlfn.IFERROR(IF(VLOOKUP(A25,Model!$A$10:$E$34,5,FALSE)="Alaska Native Tribal Hospital",0,VLOOKUP(A25,Data!A:CJ,$F$6,FALSE)),0)</f>
        <v>0</v>
      </c>
      <c r="H25" s="27">
        <f t="shared" si="0"/>
        <v>0</v>
      </c>
      <c r="I25" s="27">
        <f t="shared" si="1"/>
        <v>0</v>
      </c>
      <c r="J25" s="16"/>
      <c r="K25" s="18"/>
      <c r="L25" s="18"/>
    </row>
    <row r="26" spans="1:12" ht="12.75">
      <c r="A26" s="3" t="s">
        <v>15</v>
      </c>
      <c r="B26" s="4">
        <f>_xlfn.IFERROR(VLOOKUP(A26,Data!A:BL,2,FALSE),"")</f>
        <v>1006190</v>
      </c>
      <c r="C26" s="2" t="str">
        <f>_xlfn.IFERROR(VLOOKUP(A26,Data!A:BL,3,FALSE),"")</f>
        <v>St. Elias Specialty Hospital</v>
      </c>
      <c r="D26" s="2" t="str">
        <f>VLOOKUP(A26,Model!A:F,6,FALSE)</f>
        <v>Included</v>
      </c>
      <c r="E26" s="12">
        <f>_xlfn.IFERROR(IF(VLOOKUP(A26,Model!$A$10:$E$34,5,FALSE)="Alaska Native Tribal Hospital",0,VLOOKUP(A26,Data!A:CB,$E$6,FALSE)),0)</f>
        <v>0</v>
      </c>
      <c r="F26" s="12">
        <f>_xlfn.IFERROR(IF(VLOOKUP(A26,Model!$A$10:$E$34,5,FALSE)="Alaska Native Tribal Hospital",0,VLOOKUP(A26,Model!$A$10:$M$34,13,FALSE)),0)</f>
        <v>0</v>
      </c>
      <c r="G26" s="12">
        <f>_xlfn.IFERROR(IF(VLOOKUP(A26,Model!$A$10:$E$34,5,FALSE)="Alaska Native Tribal Hospital",0,VLOOKUP(A26,Data!A:CJ,$F$6,FALSE)),0)</f>
        <v>0</v>
      </c>
      <c r="H26" s="27">
        <f t="shared" si="0"/>
        <v>0</v>
      </c>
      <c r="I26" s="27">
        <f t="shared" si="1"/>
        <v>0</v>
      </c>
      <c r="J26" s="16"/>
      <c r="K26" s="18"/>
      <c r="L26" s="18"/>
    </row>
    <row r="27" spans="1:12" ht="12.75">
      <c r="A27" s="3" t="s">
        <v>21</v>
      </c>
      <c r="B27" s="4">
        <f>_xlfn.IFERROR(VLOOKUP(A27,Data!A:BL,2,FALSE),"")</f>
        <v>1005826</v>
      </c>
      <c r="C27" s="2" t="str">
        <f>_xlfn.IFERROR(VLOOKUP(A27,Data!A:BL,3,FALSE),"")</f>
        <v>North Star Hospital</v>
      </c>
      <c r="D27" s="2" t="str">
        <f>VLOOKUP(A27,Model!A:F,6,FALSE)</f>
        <v>Included</v>
      </c>
      <c r="E27" s="12">
        <f>_xlfn.IFERROR(IF(VLOOKUP(A27,Model!$A$10:$E$34,5,FALSE)="Alaska Native Tribal Hospital",0,VLOOKUP(A27,Data!A:CB,$E$6,FALSE)),0)</f>
        <v>0</v>
      </c>
      <c r="F27" s="12">
        <f>_xlfn.IFERROR(IF(VLOOKUP(A27,Model!$A$10:$E$34,5,FALSE)="Alaska Native Tribal Hospital",0,VLOOKUP(A27,Model!$A$10:$M$34,13,FALSE)),0)</f>
        <v>0</v>
      </c>
      <c r="G27" s="12">
        <f>_xlfn.IFERROR(IF(VLOOKUP(A27,Model!$A$10:$E$34,5,FALSE)="Alaska Native Tribal Hospital",0,VLOOKUP(A27,Data!A:CJ,$F$6,FALSE)),0)</f>
        <v>0</v>
      </c>
      <c r="H27" s="27">
        <f t="shared" si="0"/>
        <v>0</v>
      </c>
      <c r="I27" s="27">
        <f t="shared" si="1"/>
        <v>0</v>
      </c>
      <c r="J27" s="16"/>
      <c r="K27" s="18"/>
      <c r="L27" s="18"/>
    </row>
    <row r="28" spans="1:12" ht="12.75">
      <c r="A28" s="3" t="s">
        <v>20</v>
      </c>
      <c r="B28" s="4">
        <f>_xlfn.IFERROR(VLOOKUP(A28,Data!A:BL,2,FALSE),"")</f>
        <v>1005540</v>
      </c>
      <c r="C28" s="2" t="str">
        <f>_xlfn.IFERROR(VLOOKUP(A28,Data!A:BL,3,FALSE),"")</f>
        <v>Alaska Psychiatric Institute</v>
      </c>
      <c r="D28" s="2" t="str">
        <f>VLOOKUP(A28,Model!A:F,6,FALSE)</f>
        <v>Exempt</v>
      </c>
      <c r="E28" s="13">
        <f>_xlfn.IFERROR(IF(VLOOKUP(A28,Model!$A$10:$E$34,5,FALSE)="Alaska Native Tribal Hospital",0,VLOOKUP(A28,Data!A:CB,$E$6,FALSE)),0)</f>
        <v>0</v>
      </c>
      <c r="F28" s="13">
        <f>_xlfn.IFERROR(IF(VLOOKUP(A28,Model!$A$10:$E$34,5,FALSE)="Alaska Native Tribal Hospital",0,VLOOKUP(A28,Model!$A$10:$M$34,13,FALSE)),0)</f>
        <v>0</v>
      </c>
      <c r="G28" s="13">
        <f>_xlfn.IFERROR(IF(VLOOKUP(A28,Model!$A$10:$E$34,5,FALSE)="Alaska Native Tribal Hospital",0,VLOOKUP(A28,Data!A:CJ,$F$6,FALSE)),0)</f>
        <v>0</v>
      </c>
      <c r="H28" s="28">
        <f t="shared" si="0"/>
        <v>0</v>
      </c>
      <c r="I28" s="28">
        <f t="shared" si="1"/>
        <v>0</v>
      </c>
      <c r="J28" s="19"/>
      <c r="K28" s="20"/>
      <c r="L28" s="20"/>
    </row>
    <row r="29" spans="5:12" ht="12.75">
      <c r="E29" s="12">
        <f>SUM(E11:E28)</f>
        <v>0</v>
      </c>
      <c r="F29" s="12">
        <f>SUM(F11:F28)</f>
        <v>0</v>
      </c>
      <c r="G29" s="12">
        <f>SUM(G11:G28)</f>
        <v>0</v>
      </c>
      <c r="H29" s="27">
        <f>SUM(H11:H28)</f>
        <v>0</v>
      </c>
      <c r="I29" s="27">
        <f>SUM(I11:I28)</f>
        <v>0</v>
      </c>
      <c r="J29" s="29">
        <f>_xlfn.IFERROR(SLOPE(H11:H28,G11:G28),0)</f>
        <v>0</v>
      </c>
      <c r="K29" s="30">
        <f>_xlfn.IFERROR(SLOPE(I11:I28,G11:G28),0)</f>
        <v>0</v>
      </c>
      <c r="L29" s="31">
        <f>_xlfn.IFERROR(J29/K29,0)</f>
        <v>0</v>
      </c>
    </row>
    <row r="30" spans="8:12" ht="12.75">
      <c r="H30" s="8"/>
      <c r="I30" s="8"/>
      <c r="J30" s="8"/>
      <c r="K30" s="8"/>
      <c r="L30" s="8"/>
    </row>
  </sheetData>
  <sheetProtection/>
  <printOptions/>
  <pageMargins left="0.27" right="0.23" top="0.75" bottom="0.75" header="0.3" footer="0.3"/>
  <pageSetup fitToHeight="0" fitToWidth="1" horizontalDpi="600" verticalDpi="600" orientation="landscape" scale="66" r:id="rId2"/>
  <headerFooter>
    <oddFooter>&amp;C&amp;A</oddFooter>
  </headerFooter>
  <drawing r:id="rId1"/>
</worksheet>
</file>

<file path=xl/worksheets/sheet5.xml><?xml version="1.0" encoding="utf-8"?>
<worksheet xmlns="http://schemas.openxmlformats.org/spreadsheetml/2006/main" xmlns:r="http://schemas.openxmlformats.org/officeDocument/2006/relationships">
  <dimension ref="A1:DM41"/>
  <sheetViews>
    <sheetView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2" sqref="A2"/>
    </sheetView>
  </sheetViews>
  <sheetFormatPr defaultColWidth="9.140625" defaultRowHeight="15"/>
  <cols>
    <col min="1" max="1" width="9.140625" style="87" customWidth="1"/>
    <col min="2" max="2" width="9.28125" style="87" bestFit="1" customWidth="1"/>
    <col min="3" max="3" width="36.8515625" style="87" bestFit="1" customWidth="1"/>
    <col min="4" max="4" width="9.28125" style="87" bestFit="1" customWidth="1"/>
    <col min="5" max="5" width="10.140625" style="87" bestFit="1" customWidth="1"/>
    <col min="6" max="6" width="5.28125" style="87" bestFit="1" customWidth="1"/>
    <col min="7" max="7" width="10.7109375" style="87" bestFit="1" customWidth="1"/>
    <col min="8" max="8" width="25.00390625" style="87" bestFit="1" customWidth="1"/>
    <col min="9" max="9" width="10.28125" style="87" bestFit="1" customWidth="1"/>
    <col min="10" max="10" width="31.00390625" style="87" bestFit="1" customWidth="1"/>
    <col min="11" max="11" width="10.140625" style="87" bestFit="1" customWidth="1"/>
    <col min="12" max="12" width="9.00390625" style="87" customWidth="1"/>
    <col min="13" max="13" width="9.140625" style="87" customWidth="1"/>
    <col min="14" max="15" width="8.57421875" style="87" customWidth="1"/>
    <col min="16" max="16" width="9.28125" style="87" bestFit="1" customWidth="1"/>
    <col min="17" max="19" width="9.28125" style="87" customWidth="1"/>
    <col min="20" max="27" width="9.28125" style="87" bestFit="1" customWidth="1"/>
    <col min="28" max="28" width="8.421875" style="87" customWidth="1"/>
    <col min="29" max="29" width="9.28125" style="87" customWidth="1"/>
    <col min="30" max="41" width="9.28125" style="87" bestFit="1" customWidth="1"/>
    <col min="42" max="43" width="9.28125" style="87" customWidth="1"/>
    <col min="44" max="52" width="9.28125" style="87" bestFit="1" customWidth="1"/>
    <col min="53" max="53" width="8.421875" style="87" bestFit="1" customWidth="1"/>
    <col min="54" max="55" width="9.28125" style="87" bestFit="1" customWidth="1"/>
    <col min="56" max="57" width="9.28125" style="87" customWidth="1"/>
    <col min="58" max="59" width="11.28125" style="87" bestFit="1" customWidth="1"/>
    <col min="60" max="60" width="14.8515625" style="87" customWidth="1"/>
    <col min="61" max="61" width="14.7109375" style="87" hidden="1" customWidth="1"/>
    <col min="62" max="62" width="14.57421875" style="87" bestFit="1" customWidth="1"/>
    <col min="63" max="63" width="14.00390625" style="87" bestFit="1" customWidth="1"/>
    <col min="64" max="64" width="12.8515625" style="87" bestFit="1" customWidth="1"/>
    <col min="65" max="65" width="14.00390625" style="87" hidden="1" customWidth="1"/>
    <col min="66" max="66" width="9.00390625" style="87" hidden="1" customWidth="1"/>
    <col min="67" max="67" width="13.8515625" style="87" hidden="1" customWidth="1"/>
    <col min="68" max="70" width="10.57421875" style="87" hidden="1" customWidth="1"/>
    <col min="71" max="71" width="10.421875" style="87" bestFit="1" customWidth="1"/>
    <col min="72" max="74" width="9.140625" style="87" customWidth="1"/>
    <col min="75" max="75" width="14.00390625" style="87" bestFit="1" customWidth="1"/>
    <col min="76" max="76" width="14.140625" style="87" hidden="1" customWidth="1"/>
    <col min="77" max="78" width="12.28125" style="87" hidden="1" customWidth="1"/>
    <col min="79" max="79" width="12.421875" style="87" bestFit="1" customWidth="1"/>
    <col min="80" max="80" width="12.28125" style="87" hidden="1" customWidth="1"/>
    <col min="81" max="83" width="9.140625" style="87" customWidth="1"/>
    <col min="84" max="84" width="15.00390625" style="87" bestFit="1" customWidth="1"/>
    <col min="85" max="85" width="12.28125" style="87" hidden="1" customWidth="1"/>
    <col min="86" max="86" width="12.28125" style="87" bestFit="1" customWidth="1"/>
    <col min="87" max="87" width="12.28125" style="87" hidden="1" customWidth="1"/>
    <col min="88" max="88" width="12.00390625" style="87" bestFit="1" customWidth="1"/>
    <col min="89" max="89" width="9.140625" style="87" customWidth="1"/>
    <col min="90" max="90" width="0" style="87" hidden="1" customWidth="1"/>
    <col min="91" max="91" width="9.140625" style="87" customWidth="1"/>
    <col min="92" max="92" width="10.57421875" style="87" hidden="1" customWidth="1"/>
    <col min="93" max="93" width="10.28125" style="87" customWidth="1"/>
    <col min="94" max="108" width="9.140625" style="87" customWidth="1"/>
    <col min="109" max="109" width="10.8515625" style="87" bestFit="1" customWidth="1"/>
    <col min="110" max="110" width="12.28125" style="87" bestFit="1" customWidth="1"/>
    <col min="111" max="111" width="10.28125" style="87" bestFit="1" customWidth="1"/>
    <col min="112" max="112" width="11.28125" style="87" bestFit="1" customWidth="1"/>
    <col min="113" max="113" width="9.140625" style="87" customWidth="1"/>
    <col min="114" max="114" width="12.28125" style="87" bestFit="1" customWidth="1"/>
    <col min="115" max="115" width="9.140625" style="87" customWidth="1"/>
    <col min="116" max="116" width="12.28125" style="87" bestFit="1" customWidth="1"/>
    <col min="117" max="117" width="12.28125" style="87" hidden="1" customWidth="1"/>
    <col min="118" max="16384" width="9.140625" style="87" customWidth="1"/>
  </cols>
  <sheetData>
    <row r="1" spans="1:116" ht="13.5" thickBot="1">
      <c r="A1" s="321" t="s">
        <v>336</v>
      </c>
      <c r="D1" s="269" t="s">
        <v>342</v>
      </c>
      <c r="E1" s="270">
        <f>'Parameters and Analysis'!C3</f>
        <v>42433</v>
      </c>
      <c r="O1" s="322" t="s">
        <v>201</v>
      </c>
      <c r="P1" s="323"/>
      <c r="Q1" s="323"/>
      <c r="R1" s="323"/>
      <c r="S1" s="323"/>
      <c r="T1" s="323"/>
      <c r="U1" s="323"/>
      <c r="V1" s="323"/>
      <c r="W1" s="323"/>
      <c r="X1" s="323"/>
      <c r="Y1" s="323"/>
      <c r="Z1" s="323"/>
      <c r="AA1" s="323"/>
      <c r="AB1" s="324"/>
      <c r="AC1" s="324"/>
      <c r="AD1" s="323"/>
      <c r="AE1" s="323"/>
      <c r="AF1" s="323"/>
      <c r="AG1" s="323"/>
      <c r="AH1" s="323"/>
      <c r="AI1" s="323"/>
      <c r="AJ1" s="323"/>
      <c r="AK1" s="323"/>
      <c r="AL1" s="323"/>
      <c r="AM1" s="323"/>
      <c r="AN1" s="323"/>
      <c r="AO1" s="323"/>
      <c r="AP1" s="324"/>
      <c r="AQ1" s="324"/>
      <c r="AR1" s="323"/>
      <c r="AS1" s="323"/>
      <c r="AT1" s="323"/>
      <c r="AU1" s="323"/>
      <c r="AV1" s="323"/>
      <c r="AW1" s="323"/>
      <c r="AX1" s="323"/>
      <c r="AY1" s="323"/>
      <c r="AZ1" s="323"/>
      <c r="BA1" s="323"/>
      <c r="BB1" s="323"/>
      <c r="BC1" s="323"/>
      <c r="BD1" s="323"/>
      <c r="BE1" s="323"/>
      <c r="BF1" s="324"/>
      <c r="BG1" s="324"/>
      <c r="BH1" s="324"/>
      <c r="BU1" s="322" t="s">
        <v>202</v>
      </c>
      <c r="BV1" s="322" t="s">
        <v>203</v>
      </c>
      <c r="BW1" s="322"/>
      <c r="BX1" s="322"/>
      <c r="BY1" s="322" t="s">
        <v>205</v>
      </c>
      <c r="CA1" s="325" t="s">
        <v>204</v>
      </c>
      <c r="CB1" s="325" t="s">
        <v>206</v>
      </c>
      <c r="CF1" s="326"/>
      <c r="CG1" s="326"/>
      <c r="CH1" s="326"/>
      <c r="CI1" s="326"/>
      <c r="DD1" s="327" t="s">
        <v>378</v>
      </c>
      <c r="DE1" s="327" t="s">
        <v>379</v>
      </c>
      <c r="DL1" s="327" t="s">
        <v>377</v>
      </c>
    </row>
    <row r="2" spans="1:117" ht="13.5" thickBot="1">
      <c r="A2" s="321"/>
      <c r="D2" s="269" t="s">
        <v>343</v>
      </c>
      <c r="E2" s="287">
        <f>'Parameters and Analysis'!C4</f>
        <v>2</v>
      </c>
      <c r="N2" s="328" t="s">
        <v>381</v>
      </c>
      <c r="O2" s="329">
        <v>15</v>
      </c>
      <c r="BO2" s="330"/>
      <c r="BT2" s="85">
        <v>72</v>
      </c>
      <c r="BU2" s="329">
        <v>73</v>
      </c>
      <c r="BV2" s="329">
        <v>74</v>
      </c>
      <c r="BW2" s="329">
        <v>75</v>
      </c>
      <c r="BX2" s="329">
        <v>76</v>
      </c>
      <c r="BY2" s="329">
        <v>77</v>
      </c>
      <c r="BZ2" s="329">
        <v>78</v>
      </c>
      <c r="CA2" s="329">
        <v>79</v>
      </c>
      <c r="CB2" s="329">
        <v>80</v>
      </c>
      <c r="CE2" s="329">
        <v>83</v>
      </c>
      <c r="CF2" s="329">
        <v>84</v>
      </c>
      <c r="CG2" s="329">
        <v>85</v>
      </c>
      <c r="CH2" s="329">
        <v>86</v>
      </c>
      <c r="CI2" s="329">
        <v>87</v>
      </c>
      <c r="CJ2" s="329">
        <v>88</v>
      </c>
      <c r="CK2" s="329">
        <v>89</v>
      </c>
      <c r="CL2" s="329">
        <v>90</v>
      </c>
      <c r="CM2" s="329">
        <v>91</v>
      </c>
      <c r="CN2" s="329">
        <v>92</v>
      </c>
      <c r="CP2" s="329">
        <v>94</v>
      </c>
      <c r="CQ2" s="329">
        <v>95</v>
      </c>
      <c r="CR2" s="329">
        <v>96</v>
      </c>
      <c r="CS2" s="329">
        <v>97</v>
      </c>
      <c r="CT2" s="329">
        <v>98</v>
      </c>
      <c r="CU2" s="329">
        <v>99</v>
      </c>
      <c r="CV2" s="329">
        <v>100</v>
      </c>
      <c r="CW2" s="329">
        <v>101</v>
      </c>
      <c r="CX2" s="329">
        <v>102</v>
      </c>
      <c r="CY2" s="329">
        <v>103</v>
      </c>
      <c r="CZ2" s="329">
        <v>104</v>
      </c>
      <c r="DA2" s="329">
        <v>105</v>
      </c>
      <c r="DB2" s="329">
        <v>106</v>
      </c>
      <c r="DC2" s="329">
        <v>107</v>
      </c>
      <c r="DD2" s="329">
        <v>108</v>
      </c>
      <c r="DE2" s="329">
        <v>109</v>
      </c>
      <c r="DF2" s="329">
        <v>110</v>
      </c>
      <c r="DG2" s="329">
        <v>111</v>
      </c>
      <c r="DH2" s="329">
        <v>112</v>
      </c>
      <c r="DI2" s="329">
        <v>113</v>
      </c>
      <c r="DJ2" s="329">
        <v>114</v>
      </c>
      <c r="DK2" s="329">
        <v>115</v>
      </c>
      <c r="DL2" s="329">
        <v>116</v>
      </c>
      <c r="DM2" s="329">
        <v>117</v>
      </c>
    </row>
    <row r="3" spans="10:64" ht="12.75">
      <c r="J3" s="331" t="s">
        <v>98</v>
      </c>
      <c r="K3" s="331" t="s">
        <v>68</v>
      </c>
      <c r="L3" s="331" t="s">
        <v>69</v>
      </c>
      <c r="M3" s="331" t="s">
        <v>70</v>
      </c>
      <c r="N3" s="331" t="s">
        <v>71</v>
      </c>
      <c r="O3" s="331"/>
      <c r="P3" s="331" t="s">
        <v>77</v>
      </c>
      <c r="Q3" s="331" t="s">
        <v>78</v>
      </c>
      <c r="R3" s="331" t="s">
        <v>79</v>
      </c>
      <c r="S3" s="331" t="s">
        <v>68</v>
      </c>
      <c r="T3" s="331" t="s">
        <v>69</v>
      </c>
      <c r="U3" s="331" t="s">
        <v>70</v>
      </c>
      <c r="V3" s="331" t="s">
        <v>71</v>
      </c>
      <c r="W3" s="331" t="s">
        <v>72</v>
      </c>
      <c r="X3" s="331" t="s">
        <v>73</v>
      </c>
      <c r="Y3" s="331" t="s">
        <v>74</v>
      </c>
      <c r="Z3" s="331" t="s">
        <v>75</v>
      </c>
      <c r="AA3" s="331" t="s">
        <v>76</v>
      </c>
      <c r="AB3" s="331"/>
      <c r="AC3" s="331"/>
      <c r="AD3" s="331" t="s">
        <v>77</v>
      </c>
      <c r="AE3" s="331" t="s">
        <v>78</v>
      </c>
      <c r="AF3" s="331" t="s">
        <v>79</v>
      </c>
      <c r="AG3" s="331" t="s">
        <v>68</v>
      </c>
      <c r="AH3" s="331" t="s">
        <v>69</v>
      </c>
      <c r="AI3" s="331" t="s">
        <v>70</v>
      </c>
      <c r="AJ3" s="331" t="s">
        <v>71</v>
      </c>
      <c r="AK3" s="331" t="s">
        <v>72</v>
      </c>
      <c r="AL3" s="331" t="s">
        <v>73</v>
      </c>
      <c r="AM3" s="331" t="s">
        <v>74</v>
      </c>
      <c r="AN3" s="331" t="s">
        <v>75</v>
      </c>
      <c r="AO3" s="331" t="s">
        <v>76</v>
      </c>
      <c r="AP3" s="331"/>
      <c r="AQ3" s="331"/>
      <c r="AR3" s="331" t="s">
        <v>77</v>
      </c>
      <c r="AS3" s="331" t="s">
        <v>78</v>
      </c>
      <c r="AT3" s="331" t="s">
        <v>79</v>
      </c>
      <c r="AU3" s="331" t="s">
        <v>68</v>
      </c>
      <c r="AV3" s="331" t="s">
        <v>69</v>
      </c>
      <c r="AW3" s="331" t="s">
        <v>70</v>
      </c>
      <c r="AX3" s="331" t="s">
        <v>71</v>
      </c>
      <c r="AY3" s="331" t="s">
        <v>72</v>
      </c>
      <c r="AZ3" s="331" t="s">
        <v>73</v>
      </c>
      <c r="BA3" s="331" t="s">
        <v>74</v>
      </c>
      <c r="BB3" s="331" t="s">
        <v>75</v>
      </c>
      <c r="BC3" s="331" t="s">
        <v>76</v>
      </c>
      <c r="BD3" s="331"/>
      <c r="BE3" s="331"/>
      <c r="BH3" s="331" t="s">
        <v>87</v>
      </c>
      <c r="BI3" s="331" t="s">
        <v>88</v>
      </c>
      <c r="BJ3" s="331" t="s">
        <v>96</v>
      </c>
      <c r="BK3" s="331" t="s">
        <v>78</v>
      </c>
      <c r="BL3" s="331" t="s">
        <v>75</v>
      </c>
    </row>
    <row r="4" spans="1:115" ht="39">
      <c r="A4" s="332" t="s">
        <v>351</v>
      </c>
      <c r="J4" s="333" t="s">
        <v>99</v>
      </c>
      <c r="K4" s="334" t="s">
        <v>83</v>
      </c>
      <c r="L4" s="335"/>
      <c r="M4" s="335"/>
      <c r="N4" s="335"/>
      <c r="O4" s="335"/>
      <c r="P4" s="334" t="s">
        <v>84</v>
      </c>
      <c r="Q4" s="334"/>
      <c r="R4" s="334"/>
      <c r="S4" s="334"/>
      <c r="T4" s="334"/>
      <c r="U4" s="334"/>
      <c r="V4" s="334"/>
      <c r="W4" s="334"/>
      <c r="X4" s="334"/>
      <c r="Y4" s="334"/>
      <c r="Z4" s="334"/>
      <c r="AA4" s="334"/>
      <c r="AB4" s="334"/>
      <c r="AC4" s="334"/>
      <c r="AD4" s="334" t="s">
        <v>85</v>
      </c>
      <c r="AE4" s="334"/>
      <c r="AF4" s="334"/>
      <c r="AG4" s="334"/>
      <c r="AH4" s="334"/>
      <c r="AI4" s="334"/>
      <c r="AJ4" s="334"/>
      <c r="AK4" s="334"/>
      <c r="AL4" s="334"/>
      <c r="AM4" s="334"/>
      <c r="AN4" s="334"/>
      <c r="AO4" s="334"/>
      <c r="AP4" s="334"/>
      <c r="AQ4" s="334"/>
      <c r="AR4" s="334" t="s">
        <v>86</v>
      </c>
      <c r="AS4" s="334"/>
      <c r="AT4" s="334"/>
      <c r="AU4" s="334"/>
      <c r="AV4" s="334"/>
      <c r="AW4" s="334"/>
      <c r="AX4" s="334"/>
      <c r="AY4" s="334"/>
      <c r="AZ4" s="334"/>
      <c r="BA4" s="334"/>
      <c r="BB4" s="334"/>
      <c r="BC4" s="334"/>
      <c r="BD4" s="334"/>
      <c r="BE4" s="334"/>
      <c r="BH4" s="336" t="s">
        <v>91</v>
      </c>
      <c r="BI4" s="334"/>
      <c r="BJ4" s="334" t="s">
        <v>95</v>
      </c>
      <c r="BK4" s="334"/>
      <c r="BL4" s="334"/>
      <c r="BM4" s="334" t="s">
        <v>180</v>
      </c>
      <c r="BN4" s="334"/>
      <c r="BO4" s="334"/>
      <c r="BP4" s="335"/>
      <c r="BQ4" s="335"/>
      <c r="BR4" s="335"/>
      <c r="BS4" s="337" t="s">
        <v>166</v>
      </c>
      <c r="BT4" s="337"/>
      <c r="BU4" s="337"/>
      <c r="BV4" s="337"/>
      <c r="BW4" s="337"/>
      <c r="BX4" s="337"/>
      <c r="BY4" s="334"/>
      <c r="BZ4" s="334"/>
      <c r="CC4" s="334" t="s">
        <v>288</v>
      </c>
      <c r="CD4" s="334"/>
      <c r="CE4" s="334"/>
      <c r="CF4" s="334"/>
      <c r="CG4" s="334"/>
      <c r="CH4" s="334"/>
      <c r="CI4" s="334"/>
      <c r="CP4" s="334" t="s">
        <v>363</v>
      </c>
      <c r="CQ4" s="335"/>
      <c r="CR4" s="335"/>
      <c r="CS4" s="335"/>
      <c r="CT4" s="335"/>
      <c r="CU4" s="334" t="s">
        <v>364</v>
      </c>
      <c r="CV4" s="335"/>
      <c r="CW4" s="335"/>
      <c r="CX4" s="335"/>
      <c r="CY4" s="335"/>
      <c r="CZ4" s="334" t="s">
        <v>365</v>
      </c>
      <c r="DA4" s="335"/>
      <c r="DB4" s="335"/>
      <c r="DC4" s="335"/>
      <c r="DD4" s="335"/>
      <c r="DE4" s="321"/>
      <c r="DF4" s="334" t="s">
        <v>367</v>
      </c>
      <c r="DG4" s="335"/>
      <c r="DH4" s="335"/>
      <c r="DI4" s="335"/>
      <c r="DJ4" s="335"/>
      <c r="DK4" s="321" t="s">
        <v>372</v>
      </c>
    </row>
    <row r="5" spans="1:117" ht="77.25" thickBot="1">
      <c r="A5" s="338" t="s">
        <v>56</v>
      </c>
      <c r="B5" s="338" t="s">
        <v>57</v>
      </c>
      <c r="C5" s="338" t="s">
        <v>0</v>
      </c>
      <c r="D5" s="338" t="s">
        <v>1</v>
      </c>
      <c r="E5" s="338" t="s">
        <v>2</v>
      </c>
      <c r="F5" s="338" t="s">
        <v>58</v>
      </c>
      <c r="G5" s="338" t="s">
        <v>114</v>
      </c>
      <c r="H5" s="338" t="s">
        <v>3</v>
      </c>
      <c r="I5" s="338" t="s">
        <v>284</v>
      </c>
      <c r="J5" s="339" t="s">
        <v>97</v>
      </c>
      <c r="K5" s="340" t="s">
        <v>59</v>
      </c>
      <c r="L5" s="340" t="s">
        <v>60</v>
      </c>
      <c r="M5" s="340" t="s">
        <v>61</v>
      </c>
      <c r="N5" s="340" t="s">
        <v>62</v>
      </c>
      <c r="O5" s="340" t="s">
        <v>112</v>
      </c>
      <c r="P5" s="341" t="s">
        <v>80</v>
      </c>
      <c r="Q5" s="341" t="s">
        <v>81</v>
      </c>
      <c r="R5" s="341" t="s">
        <v>82</v>
      </c>
      <c r="S5" s="341" t="s">
        <v>59</v>
      </c>
      <c r="T5" s="341" t="s">
        <v>60</v>
      </c>
      <c r="U5" s="341" t="s">
        <v>61</v>
      </c>
      <c r="V5" s="341" t="s">
        <v>62</v>
      </c>
      <c r="W5" s="341" t="s">
        <v>66</v>
      </c>
      <c r="X5" s="341" t="s">
        <v>67</v>
      </c>
      <c r="Y5" s="341" t="s">
        <v>63</v>
      </c>
      <c r="Z5" s="341" t="s">
        <v>64</v>
      </c>
      <c r="AA5" s="341" t="s">
        <v>65</v>
      </c>
      <c r="AB5" s="341" t="s">
        <v>360</v>
      </c>
      <c r="AC5" s="341" t="s">
        <v>361</v>
      </c>
      <c r="AD5" s="342" t="s">
        <v>80</v>
      </c>
      <c r="AE5" s="342" t="s">
        <v>81</v>
      </c>
      <c r="AF5" s="342" t="s">
        <v>82</v>
      </c>
      <c r="AG5" s="342" t="s">
        <v>59</v>
      </c>
      <c r="AH5" s="342" t="s">
        <v>60</v>
      </c>
      <c r="AI5" s="342" t="s">
        <v>61</v>
      </c>
      <c r="AJ5" s="342" t="s">
        <v>62</v>
      </c>
      <c r="AK5" s="342" t="s">
        <v>66</v>
      </c>
      <c r="AL5" s="342" t="s">
        <v>67</v>
      </c>
      <c r="AM5" s="342" t="s">
        <v>63</v>
      </c>
      <c r="AN5" s="342" t="s">
        <v>64</v>
      </c>
      <c r="AO5" s="342" t="s">
        <v>65</v>
      </c>
      <c r="AP5" s="342" t="s">
        <v>362</v>
      </c>
      <c r="AQ5" s="342" t="s">
        <v>361</v>
      </c>
      <c r="AR5" s="343" t="s">
        <v>80</v>
      </c>
      <c r="AS5" s="343" t="s">
        <v>81</v>
      </c>
      <c r="AT5" s="343" t="s">
        <v>82</v>
      </c>
      <c r="AU5" s="343" t="s">
        <v>59</v>
      </c>
      <c r="AV5" s="343" t="s">
        <v>60</v>
      </c>
      <c r="AW5" s="343" t="s">
        <v>61</v>
      </c>
      <c r="AX5" s="343" t="s">
        <v>62</v>
      </c>
      <c r="AY5" s="343" t="s">
        <v>66</v>
      </c>
      <c r="AZ5" s="343" t="s">
        <v>67</v>
      </c>
      <c r="BA5" s="343" t="s">
        <v>63</v>
      </c>
      <c r="BB5" s="343" t="s">
        <v>64</v>
      </c>
      <c r="BC5" s="343" t="s">
        <v>65</v>
      </c>
      <c r="BD5" s="343" t="s">
        <v>360</v>
      </c>
      <c r="BE5" s="343" t="s">
        <v>361</v>
      </c>
      <c r="BF5" s="344" t="s">
        <v>384</v>
      </c>
      <c r="BG5" s="344" t="s">
        <v>385</v>
      </c>
      <c r="BH5" s="345" t="s">
        <v>89</v>
      </c>
      <c r="BI5" s="345" t="s">
        <v>90</v>
      </c>
      <c r="BJ5" s="346" t="s">
        <v>92</v>
      </c>
      <c r="BK5" s="346" t="s">
        <v>93</v>
      </c>
      <c r="BL5" s="346" t="s">
        <v>94</v>
      </c>
      <c r="BM5" s="347" t="s">
        <v>187</v>
      </c>
      <c r="BN5" s="347" t="s">
        <v>188</v>
      </c>
      <c r="BO5" s="347" t="s">
        <v>189</v>
      </c>
      <c r="BP5" s="347" t="s">
        <v>180</v>
      </c>
      <c r="BQ5" s="347" t="s">
        <v>190</v>
      </c>
      <c r="BR5" s="347" t="s">
        <v>191</v>
      </c>
      <c r="BS5" s="348" t="s">
        <v>182</v>
      </c>
      <c r="BT5" s="348" t="s">
        <v>181</v>
      </c>
      <c r="BU5" s="348" t="s">
        <v>100</v>
      </c>
      <c r="BV5" s="348" t="s">
        <v>183</v>
      </c>
      <c r="BW5" s="348" t="s">
        <v>101</v>
      </c>
      <c r="BX5" s="348" t="s">
        <v>184</v>
      </c>
      <c r="BY5" s="348" t="s">
        <v>180</v>
      </c>
      <c r="BZ5" s="348" t="s">
        <v>191</v>
      </c>
      <c r="CA5" s="349" t="s">
        <v>185</v>
      </c>
      <c r="CB5" s="349" t="s">
        <v>186</v>
      </c>
      <c r="CC5" s="350" t="s">
        <v>181</v>
      </c>
      <c r="CD5" s="350" t="s">
        <v>100</v>
      </c>
      <c r="CE5" s="350" t="s">
        <v>210</v>
      </c>
      <c r="CF5" s="351" t="s">
        <v>211</v>
      </c>
      <c r="CG5" s="351" t="s">
        <v>212</v>
      </c>
      <c r="CH5" s="351" t="s">
        <v>213</v>
      </c>
      <c r="CI5" s="351" t="s">
        <v>214</v>
      </c>
      <c r="CJ5" s="350" t="s">
        <v>279</v>
      </c>
      <c r="CK5" s="350" t="s">
        <v>271</v>
      </c>
      <c r="CL5" s="350" t="s">
        <v>272</v>
      </c>
      <c r="CM5" s="350" t="s">
        <v>273</v>
      </c>
      <c r="CN5" s="350" t="s">
        <v>274</v>
      </c>
      <c r="CO5" s="338" t="s">
        <v>138</v>
      </c>
      <c r="CP5" s="352" t="s">
        <v>59</v>
      </c>
      <c r="CQ5" s="352" t="s">
        <v>60</v>
      </c>
      <c r="CR5" s="352" t="s">
        <v>61</v>
      </c>
      <c r="CS5" s="352" t="s">
        <v>62</v>
      </c>
      <c r="CT5" s="352" t="s">
        <v>112</v>
      </c>
      <c r="CU5" s="353" t="s">
        <v>59</v>
      </c>
      <c r="CV5" s="353" t="s">
        <v>60</v>
      </c>
      <c r="CW5" s="353" t="s">
        <v>61</v>
      </c>
      <c r="CX5" s="353" t="s">
        <v>62</v>
      </c>
      <c r="CY5" s="353" t="s">
        <v>112</v>
      </c>
      <c r="CZ5" s="354" t="s">
        <v>59</v>
      </c>
      <c r="DA5" s="354" t="s">
        <v>60</v>
      </c>
      <c r="DB5" s="354" t="s">
        <v>61</v>
      </c>
      <c r="DC5" s="354" t="s">
        <v>62</v>
      </c>
      <c r="DD5" s="354" t="s">
        <v>112</v>
      </c>
      <c r="DE5" s="339" t="s">
        <v>366</v>
      </c>
      <c r="DF5" s="355" t="s">
        <v>59</v>
      </c>
      <c r="DG5" s="355" t="s">
        <v>60</v>
      </c>
      <c r="DH5" s="355" t="s">
        <v>61</v>
      </c>
      <c r="DI5" s="355" t="s">
        <v>62</v>
      </c>
      <c r="DJ5" s="355" t="s">
        <v>112</v>
      </c>
      <c r="DK5" s="356" t="s">
        <v>368</v>
      </c>
      <c r="DL5" s="356" t="s">
        <v>369</v>
      </c>
      <c r="DM5" s="356" t="s">
        <v>370</v>
      </c>
    </row>
    <row r="6" spans="1:117" ht="12.75">
      <c r="A6" s="85" t="s">
        <v>10</v>
      </c>
      <c r="B6" s="85">
        <v>1005630</v>
      </c>
      <c r="C6" s="87" t="s">
        <v>35</v>
      </c>
      <c r="D6" s="357">
        <v>41640</v>
      </c>
      <c r="E6" s="357">
        <v>42004</v>
      </c>
      <c r="F6" s="358">
        <f aca="true" t="shared" si="0" ref="F6:F23">IF(ISERROR(E6-D6+1),0,(E6-D6+1))</f>
        <v>365</v>
      </c>
      <c r="G6" s="87" t="s">
        <v>116</v>
      </c>
      <c r="H6" s="88" t="s">
        <v>53</v>
      </c>
      <c r="I6" s="359" t="str">
        <f>VLOOKUP(H6,'Parameters and Analysis'!$A$29:$B$36,2,FALSE)</f>
        <v>Included</v>
      </c>
      <c r="J6" s="87" t="s">
        <v>107</v>
      </c>
      <c r="K6" s="360">
        <v>391</v>
      </c>
      <c r="L6" s="360">
        <v>0</v>
      </c>
      <c r="M6" s="360">
        <v>10</v>
      </c>
      <c r="N6" s="360">
        <v>0</v>
      </c>
      <c r="O6" s="361">
        <f aca="true" t="shared" si="1" ref="O6:O23">SUM(K6:N6)</f>
        <v>401</v>
      </c>
      <c r="P6" s="360">
        <v>211</v>
      </c>
      <c r="Q6" s="360">
        <v>0</v>
      </c>
      <c r="R6" s="360">
        <v>15</v>
      </c>
      <c r="S6" s="360">
        <v>27875</v>
      </c>
      <c r="T6" s="360">
        <v>0</v>
      </c>
      <c r="U6" s="360">
        <v>1120</v>
      </c>
      <c r="V6" s="360">
        <v>0</v>
      </c>
      <c r="W6" s="360">
        <v>0</v>
      </c>
      <c r="X6" s="360">
        <v>0</v>
      </c>
      <c r="Y6" s="360">
        <v>0</v>
      </c>
      <c r="Z6" s="360">
        <v>0</v>
      </c>
      <c r="AA6" s="360">
        <v>0</v>
      </c>
      <c r="AB6" s="361">
        <f>SUM(P6:Y6)-SUM(Y6:AA6)</f>
        <v>29221</v>
      </c>
      <c r="AC6" s="361">
        <f>AB6+SUM(Y6:AA6)</f>
        <v>29221</v>
      </c>
      <c r="AD6" s="360">
        <v>6835</v>
      </c>
      <c r="AE6" s="360">
        <v>0</v>
      </c>
      <c r="AF6" s="360">
        <v>0</v>
      </c>
      <c r="AG6" s="360">
        <v>24367</v>
      </c>
      <c r="AH6" s="360">
        <v>0</v>
      </c>
      <c r="AI6" s="360">
        <v>206</v>
      </c>
      <c r="AJ6" s="360">
        <v>0</v>
      </c>
      <c r="AK6" s="360">
        <v>0</v>
      </c>
      <c r="AL6" s="360">
        <v>0</v>
      </c>
      <c r="AM6" s="360">
        <v>0</v>
      </c>
      <c r="AN6" s="360">
        <v>0</v>
      </c>
      <c r="AO6" s="360">
        <v>0</v>
      </c>
      <c r="AP6" s="361">
        <f>SUM(AD6:AM6)-SUM(AD6:AF6)-SUM(AM6:AO6)</f>
        <v>24573</v>
      </c>
      <c r="AQ6" s="361">
        <f>AP6+SUM(AM6:AO6)</f>
        <v>24573</v>
      </c>
      <c r="AR6" s="360">
        <v>0</v>
      </c>
      <c r="AS6" s="360">
        <v>0</v>
      </c>
      <c r="AT6" s="360">
        <v>0</v>
      </c>
      <c r="AU6" s="360">
        <v>99850</v>
      </c>
      <c r="AV6" s="360">
        <v>0</v>
      </c>
      <c r="AW6" s="360">
        <v>2370</v>
      </c>
      <c r="AX6" s="360">
        <v>0</v>
      </c>
      <c r="AY6" s="360">
        <v>0</v>
      </c>
      <c r="AZ6" s="360">
        <v>0</v>
      </c>
      <c r="BA6" s="360">
        <v>1784</v>
      </c>
      <c r="BB6" s="360">
        <v>0</v>
      </c>
      <c r="BC6" s="360">
        <v>0</v>
      </c>
      <c r="BD6" s="361">
        <f>SUM(AR6:BA6)-SUM(BA6:BC6)</f>
        <v>102220</v>
      </c>
      <c r="BE6" s="361">
        <f>BD6+SUM(BA6:BC6)</f>
        <v>104004</v>
      </c>
      <c r="BF6" s="361">
        <f aca="true" t="shared" si="2" ref="BF6:BG23">BD6-AB6</f>
        <v>72999</v>
      </c>
      <c r="BG6" s="361">
        <f t="shared" si="2"/>
        <v>74783</v>
      </c>
      <c r="BH6" s="360">
        <v>1239972311</v>
      </c>
      <c r="BI6" s="360">
        <v>594872484</v>
      </c>
      <c r="BJ6" s="360">
        <v>1871607431</v>
      </c>
      <c r="BK6" s="360">
        <v>631164987</v>
      </c>
      <c r="BL6" s="360">
        <v>98958583</v>
      </c>
      <c r="BM6" s="360">
        <f aca="true" t="shared" si="3" ref="BM6:BM30">BH6</f>
        <v>1239972311</v>
      </c>
      <c r="BN6" s="360">
        <f>BM6/BE6</f>
        <v>11922.35213068728</v>
      </c>
      <c r="BO6" s="360">
        <f aca="true" t="shared" si="4" ref="BO6:BO30">BI6</f>
        <v>594872484</v>
      </c>
      <c r="BP6" s="360">
        <f>BO6/BN6</f>
        <v>49895.564019522695</v>
      </c>
      <c r="BQ6" s="360">
        <f aca="true" t="shared" si="5" ref="BQ6:BQ30">AQ6</f>
        <v>24573</v>
      </c>
      <c r="BR6" s="360">
        <f>BQ6/BE6*BP6</f>
        <v>11788.812878848228</v>
      </c>
      <c r="BS6" s="360">
        <f aca="true" t="shared" si="6" ref="BS6:BS30">_xlfn.IFERROR(AB6/F6*365,0)</f>
        <v>29221</v>
      </c>
      <c r="BT6" s="360">
        <f aca="true" t="shared" si="7" ref="BT6:BT30">_xlfn.IFERROR(AP6/F6*365,0)</f>
        <v>24573</v>
      </c>
      <c r="BU6" s="360">
        <f aca="true" t="shared" si="8" ref="BU6:BU30">_xlfn.IFERROR(BD6/F6*365,0)</f>
        <v>102220</v>
      </c>
      <c r="BV6" s="360">
        <f aca="true" t="shared" si="9" ref="BV6:BV30">_xlfn.IFERROR(BF6/F6*365,0)</f>
        <v>72999</v>
      </c>
      <c r="BW6" s="360">
        <f aca="true" t="shared" si="10" ref="BW6:BW30">_xlfn.IFERROR(BH6/F6*365,0)</f>
        <v>1239972311</v>
      </c>
      <c r="BX6" s="360">
        <f aca="true" t="shared" si="11" ref="BX6:BX30">_xlfn.IFERROR(BI6/F6*365,0)</f>
        <v>594872484</v>
      </c>
      <c r="BY6" s="360">
        <f aca="true" t="shared" si="12" ref="BY6:BY30">_xlfn.IFERROR(BP6/F6*365,0)</f>
        <v>49895.564019522695</v>
      </c>
      <c r="BZ6" s="360">
        <f aca="true" t="shared" si="13" ref="BZ6:BZ30">_xlfn.IFERROR(BR6/F6*365,0)</f>
        <v>11788.81287884823</v>
      </c>
      <c r="CA6" s="360">
        <f>SUMIF(NPR!A:A,A6,NPR!AQ:AQ)</f>
        <v>418158778.29106265</v>
      </c>
      <c r="CB6" s="360">
        <f>SUMIF(NPR!A:A,A6,NPR!AR:AR)</f>
        <v>0</v>
      </c>
      <c r="CC6" s="360">
        <f>BT6</f>
        <v>24573</v>
      </c>
      <c r="CD6" s="360">
        <f>BU6</f>
        <v>102220</v>
      </c>
      <c r="CE6" s="362">
        <f>CC6/CD6</f>
        <v>0.2403932694189004</v>
      </c>
      <c r="CF6" s="363">
        <v>274087946.69166565</v>
      </c>
      <c r="CG6" s="363">
        <v>90002094.28500175</v>
      </c>
      <c r="CH6" s="363">
        <f>_xlfn.IFERROR(CA6*(CF6/BW6),0)</f>
        <v>92431322.79337874</v>
      </c>
      <c r="CI6" s="363">
        <f>_xlfn.IFERROR(CB6*(CG6/BX6),0)</f>
        <v>0</v>
      </c>
      <c r="CJ6" s="362">
        <f>CC6/SUM($CC$6:$CC$30)</f>
        <v>0.2811330900271145</v>
      </c>
      <c r="CK6" s="362">
        <f>CF6/SUM($CF$6:$CF$30)</f>
        <v>0.5418768317680794</v>
      </c>
      <c r="CL6" s="362">
        <f>CG6/SUM($CG$6:$CG$30)</f>
        <v>0.37850101177643203</v>
      </c>
      <c r="CM6" s="362">
        <f>CH6/SUM($CH$6:$CH$30)</f>
        <v>0.5088526594419699</v>
      </c>
      <c r="CN6" s="362" t="e">
        <f>CI6/SUM($CI$6:$CI$30)</f>
        <v>#DIV/0!</v>
      </c>
      <c r="CO6" s="359" t="s">
        <v>140</v>
      </c>
      <c r="CP6" s="360">
        <v>4300</v>
      </c>
      <c r="CQ6" s="360"/>
      <c r="CR6" s="360">
        <v>95</v>
      </c>
      <c r="CS6" s="360"/>
      <c r="CT6" s="361">
        <f aca="true" t="shared" si="14" ref="CT6:CT26">SUM(CP6:CS6)</f>
        <v>4395</v>
      </c>
      <c r="CU6" s="360">
        <v>3542</v>
      </c>
      <c r="CV6" s="360"/>
      <c r="CW6" s="360">
        <v>15</v>
      </c>
      <c r="CX6" s="360"/>
      <c r="CY6" s="361">
        <f aca="true" t="shared" si="15" ref="CY6:CY26">SUM(CU6:CX6)</f>
        <v>3557</v>
      </c>
      <c r="CZ6" s="360">
        <v>16383</v>
      </c>
      <c r="DA6" s="360"/>
      <c r="DB6" s="360">
        <v>195</v>
      </c>
      <c r="DC6" s="360"/>
      <c r="DD6" s="361">
        <f aca="true" t="shared" si="16" ref="DD6:DD26">SUM(CZ6:DC6)</f>
        <v>16578</v>
      </c>
      <c r="DE6" s="360">
        <f>DD6-CT6</f>
        <v>12183</v>
      </c>
      <c r="DF6" s="360">
        <f>81489367+33044045+261682621</f>
        <v>376216033</v>
      </c>
      <c r="DG6" s="360"/>
      <c r="DH6" s="360">
        <f>3958895+2773136</f>
        <v>6732031</v>
      </c>
      <c r="DI6" s="360"/>
      <c r="DJ6" s="361">
        <f aca="true" t="shared" si="17" ref="DJ6:DJ26">SUM(DF6:DI6)</f>
        <v>382948064</v>
      </c>
      <c r="DK6" s="362">
        <f>DJ6/(BW6+BX6)</f>
        <v>0.2087086957128709</v>
      </c>
      <c r="DL6" s="360">
        <f>CA6*(1-DK6)</f>
        <v>330885405.0730474</v>
      </c>
      <c r="DM6" s="360">
        <f>CB6*(1-DK6)</f>
        <v>0</v>
      </c>
    </row>
    <row r="7" spans="1:117" ht="12.75">
      <c r="A7" s="85" t="s">
        <v>14</v>
      </c>
      <c r="B7" s="85">
        <v>1006079</v>
      </c>
      <c r="C7" s="87" t="s">
        <v>38</v>
      </c>
      <c r="D7" s="357">
        <v>41640</v>
      </c>
      <c r="E7" s="357">
        <v>42004</v>
      </c>
      <c r="F7" s="358">
        <f t="shared" si="0"/>
        <v>365</v>
      </c>
      <c r="G7" s="87" t="s">
        <v>116</v>
      </c>
      <c r="H7" s="88" t="s">
        <v>53</v>
      </c>
      <c r="I7" s="359" t="str">
        <f>VLOOKUP(H7,'Parameters and Analysis'!$A$29:$B$36,2,FALSE)</f>
        <v>Included</v>
      </c>
      <c r="J7" s="87" t="s">
        <v>104</v>
      </c>
      <c r="K7" s="360">
        <v>74</v>
      </c>
      <c r="L7" s="360">
        <v>0</v>
      </c>
      <c r="M7" s="360">
        <v>0</v>
      </c>
      <c r="N7" s="360">
        <v>0</v>
      </c>
      <c r="O7" s="361">
        <f t="shared" si="1"/>
        <v>74</v>
      </c>
      <c r="P7" s="360">
        <v>15</v>
      </c>
      <c r="Q7" s="360">
        <v>0</v>
      </c>
      <c r="R7" s="360">
        <v>0</v>
      </c>
      <c r="S7" s="360">
        <v>6977</v>
      </c>
      <c r="T7" s="360">
        <v>0</v>
      </c>
      <c r="U7" s="360">
        <v>0</v>
      </c>
      <c r="V7" s="360">
        <v>0</v>
      </c>
      <c r="W7" s="360">
        <v>0</v>
      </c>
      <c r="X7" s="360">
        <v>0</v>
      </c>
      <c r="Y7" s="360">
        <v>0</v>
      </c>
      <c r="Z7" s="360">
        <v>735</v>
      </c>
      <c r="AA7" s="360">
        <v>0</v>
      </c>
      <c r="AB7" s="361">
        <f>SUM(P7:Y7)-SUM(Y7:AA7)</f>
        <v>6257</v>
      </c>
      <c r="AC7" s="361">
        <f aca="true" t="shared" si="18" ref="AC7:AC30">AB7+SUM(Y7:AA7)</f>
        <v>6992</v>
      </c>
      <c r="AD7" s="360">
        <v>0</v>
      </c>
      <c r="AE7" s="360">
        <v>0</v>
      </c>
      <c r="AF7" s="360">
        <v>0</v>
      </c>
      <c r="AG7" s="360">
        <v>2751</v>
      </c>
      <c r="AH7" s="360">
        <v>0</v>
      </c>
      <c r="AI7" s="360">
        <v>0</v>
      </c>
      <c r="AJ7" s="360">
        <v>0</v>
      </c>
      <c r="AK7" s="360">
        <v>0</v>
      </c>
      <c r="AL7" s="360">
        <v>0</v>
      </c>
      <c r="AM7" s="360">
        <v>0</v>
      </c>
      <c r="AN7" s="360">
        <v>79</v>
      </c>
      <c r="AO7" s="360">
        <v>0</v>
      </c>
      <c r="AP7" s="361">
        <f aca="true" t="shared" si="19" ref="AP7:AP30">SUM(AD7:AM7)-SUM(AD7:AF7)-SUM(AM7:AO7)</f>
        <v>2672</v>
      </c>
      <c r="AQ7" s="361">
        <f aca="true" t="shared" si="20" ref="AQ7:AQ30">AP7+SUM(AM7:AO7)</f>
        <v>2751</v>
      </c>
      <c r="AR7" s="360">
        <v>0</v>
      </c>
      <c r="AS7" s="360">
        <v>0</v>
      </c>
      <c r="AT7" s="360">
        <v>0</v>
      </c>
      <c r="AU7" s="360">
        <v>16205</v>
      </c>
      <c r="AV7" s="360">
        <v>0</v>
      </c>
      <c r="AW7" s="360">
        <v>0</v>
      </c>
      <c r="AX7" s="360">
        <v>0</v>
      </c>
      <c r="AY7" s="360">
        <v>0</v>
      </c>
      <c r="AZ7" s="360">
        <v>0</v>
      </c>
      <c r="BA7" s="360">
        <v>0</v>
      </c>
      <c r="BB7" s="360">
        <v>1007</v>
      </c>
      <c r="BC7" s="360">
        <v>0</v>
      </c>
      <c r="BD7" s="361">
        <f aca="true" t="shared" si="21" ref="BD7:BD30">SUM(AR7:BA7)-SUM(BA7:BC7)</f>
        <v>15198</v>
      </c>
      <c r="BE7" s="361">
        <f aca="true" t="shared" si="22" ref="BE7:BE30">BD7+SUM(BA7:BC7)</f>
        <v>16205</v>
      </c>
      <c r="BF7" s="361">
        <f t="shared" si="2"/>
        <v>8941</v>
      </c>
      <c r="BG7" s="361">
        <f t="shared" si="2"/>
        <v>9213</v>
      </c>
      <c r="BH7" s="360">
        <v>198526127</v>
      </c>
      <c r="BI7" s="360">
        <v>207347096</v>
      </c>
      <c r="BJ7" s="360">
        <v>418561004</v>
      </c>
      <c r="BK7" s="360">
        <v>164480182</v>
      </c>
      <c r="BL7" s="360">
        <v>35042304</v>
      </c>
      <c r="BM7" s="360">
        <f t="shared" si="3"/>
        <v>198526127</v>
      </c>
      <c r="BN7" s="360">
        <f aca="true" t="shared" si="23" ref="BN7:BN30">BM7/BE7</f>
        <v>12250.918049984573</v>
      </c>
      <c r="BO7" s="360">
        <f t="shared" si="4"/>
        <v>207347096</v>
      </c>
      <c r="BP7" s="360">
        <f aca="true" t="shared" si="24" ref="BP7:BP30">BO7/BN7</f>
        <v>16925.02514130042</v>
      </c>
      <c r="BQ7" s="360">
        <f t="shared" si="5"/>
        <v>2751</v>
      </c>
      <c r="BR7" s="360">
        <f aca="true" t="shared" si="25" ref="BR7:BR30">BQ7/BE7*BP7</f>
        <v>2873.233209732641</v>
      </c>
      <c r="BS7" s="360">
        <f t="shared" si="6"/>
        <v>6257.000000000001</v>
      </c>
      <c r="BT7" s="360">
        <f t="shared" si="7"/>
        <v>2672</v>
      </c>
      <c r="BU7" s="360">
        <f t="shared" si="8"/>
        <v>15197.999999999998</v>
      </c>
      <c r="BV7" s="360">
        <f t="shared" si="9"/>
        <v>8941</v>
      </c>
      <c r="BW7" s="360">
        <f t="shared" si="10"/>
        <v>198526127</v>
      </c>
      <c r="BX7" s="360">
        <f t="shared" si="11"/>
        <v>207347096</v>
      </c>
      <c r="BY7" s="360">
        <f t="shared" si="12"/>
        <v>16925.02514130042</v>
      </c>
      <c r="BZ7" s="360">
        <f t="shared" si="13"/>
        <v>2873.233209732641</v>
      </c>
      <c r="CA7" s="360">
        <f>SUMIF(NPR!A:A,A7,NPR!AQ:AQ)</f>
        <v>78013988.8538568</v>
      </c>
      <c r="CB7" s="360">
        <f>SUMIF(NPR!A:A,A7,NPR!AR:AR)</f>
        <v>0</v>
      </c>
      <c r="CC7" s="360">
        <f aca="true" t="shared" si="26" ref="CC7:CC30">BT7</f>
        <v>2672</v>
      </c>
      <c r="CD7" s="360">
        <f aca="true" t="shared" si="27" ref="CD7:CD30">BU7</f>
        <v>15197.999999999998</v>
      </c>
      <c r="CE7" s="362">
        <f aca="true" t="shared" si="28" ref="CE7:CE34">CC7/CD7</f>
        <v>0.17581260692196343</v>
      </c>
      <c r="CF7" s="363">
        <v>39167137.36666584</v>
      </c>
      <c r="CG7" s="363">
        <v>44003556.35833359</v>
      </c>
      <c r="CH7" s="363">
        <f aca="true" t="shared" si="29" ref="CH7:CH30">_xlfn.IFERROR(CA7*(CF7/BW7),0)</f>
        <v>15391347.547723768</v>
      </c>
      <c r="CI7" s="363">
        <f aca="true" t="shared" si="30" ref="CI7:CI30">_xlfn.IFERROR(CB7*(CG7/BX7),0)</f>
        <v>0</v>
      </c>
      <c r="CJ7" s="362">
        <f aca="true" t="shared" si="31" ref="CJ7:CJ30">CC7/SUM($CC$6:$CC$30)</f>
        <v>0.030569634011005983</v>
      </c>
      <c r="CK7" s="362">
        <f aca="true" t="shared" si="32" ref="CK7:CK30">CF7/SUM($CF$6:$CF$30)</f>
        <v>0.07743413952292344</v>
      </c>
      <c r="CL7" s="362">
        <f aca="true" t="shared" si="33" ref="CL7:CL30">CG7/SUM($CG$6:$CG$30)</f>
        <v>0.185055589380502</v>
      </c>
      <c r="CM7" s="362">
        <f aca="true" t="shared" si="34" ref="CM7:CM30">CH7/SUM($CH$6:$CH$30)</f>
        <v>0.08473240342521547</v>
      </c>
      <c r="CN7" s="362" t="e">
        <f aca="true" t="shared" si="35" ref="CN7:CN30">CI7/SUM($CI$6:$CI$30)</f>
        <v>#DIV/0!</v>
      </c>
      <c r="CO7" s="359" t="s">
        <v>140</v>
      </c>
      <c r="CP7" s="360">
        <v>1444</v>
      </c>
      <c r="CQ7" s="360"/>
      <c r="CR7" s="360"/>
      <c r="CS7" s="360"/>
      <c r="CT7" s="361">
        <f t="shared" si="14"/>
        <v>1444</v>
      </c>
      <c r="CU7" s="360">
        <v>751</v>
      </c>
      <c r="CV7" s="360"/>
      <c r="CW7" s="360"/>
      <c r="CX7" s="360"/>
      <c r="CY7" s="361">
        <f t="shared" si="15"/>
        <v>751</v>
      </c>
      <c r="CZ7" s="360">
        <v>4273</v>
      </c>
      <c r="DA7" s="360"/>
      <c r="DB7" s="360"/>
      <c r="DC7" s="360"/>
      <c r="DD7" s="361">
        <f t="shared" si="16"/>
        <v>4273</v>
      </c>
      <c r="DE7" s="360">
        <f aca="true" t="shared" si="36" ref="DE7:DE34">DD7-CT7</f>
        <v>2829</v>
      </c>
      <c r="DF7" s="360">
        <f>23026262+3789892+51508568</f>
        <v>78324722</v>
      </c>
      <c r="DG7" s="360"/>
      <c r="DH7" s="360"/>
      <c r="DI7" s="360"/>
      <c r="DJ7" s="361">
        <f t="shared" si="17"/>
        <v>78324722</v>
      </c>
      <c r="DK7" s="362">
        <f aca="true" t="shared" si="37" ref="DK7:DK27">DJ7/(BW7+BX7)</f>
        <v>0.192978293618547</v>
      </c>
      <c r="DL7" s="360">
        <f>CA7*(1-DK7)</f>
        <v>62958982.40646317</v>
      </c>
      <c r="DM7" s="360">
        <f aca="true" t="shared" si="38" ref="DM7:DM30">CB7*(1-DK7)</f>
        <v>0</v>
      </c>
    </row>
    <row r="8" spans="1:117" ht="12.75">
      <c r="A8" s="85" t="s">
        <v>5</v>
      </c>
      <c r="B8" s="86">
        <v>1005539</v>
      </c>
      <c r="C8" s="87" t="s">
        <v>30</v>
      </c>
      <c r="D8" s="357">
        <v>41456</v>
      </c>
      <c r="E8" s="357">
        <v>41820</v>
      </c>
      <c r="F8" s="358">
        <f t="shared" si="0"/>
        <v>365</v>
      </c>
      <c r="G8" s="87" t="s">
        <v>117</v>
      </c>
      <c r="H8" s="88" t="s">
        <v>53</v>
      </c>
      <c r="I8" s="359" t="str">
        <f>VLOOKUP(H8,'Parameters and Analysis'!$A$29:$B$36,2,FALSE)</f>
        <v>Included</v>
      </c>
      <c r="J8" s="87" t="s">
        <v>105</v>
      </c>
      <c r="K8" s="360">
        <v>45</v>
      </c>
      <c r="L8" s="360">
        <v>12</v>
      </c>
      <c r="M8" s="360">
        <v>0</v>
      </c>
      <c r="N8" s="360">
        <v>0</v>
      </c>
      <c r="O8" s="361">
        <f t="shared" si="1"/>
        <v>57</v>
      </c>
      <c r="P8" s="360">
        <v>0</v>
      </c>
      <c r="Q8" s="360">
        <v>0</v>
      </c>
      <c r="R8" s="360">
        <v>0</v>
      </c>
      <c r="S8" s="360">
        <v>1753</v>
      </c>
      <c r="T8" s="360">
        <v>785</v>
      </c>
      <c r="U8" s="360">
        <v>0</v>
      </c>
      <c r="V8" s="360">
        <v>0</v>
      </c>
      <c r="W8" s="360">
        <v>0</v>
      </c>
      <c r="X8" s="360">
        <v>0</v>
      </c>
      <c r="Y8" s="360">
        <v>0</v>
      </c>
      <c r="Z8" s="360">
        <v>0</v>
      </c>
      <c r="AA8" s="360">
        <v>0</v>
      </c>
      <c r="AB8" s="361">
        <f aca="true" t="shared" si="39" ref="AB8:AB30">SUM(P8:Y8)-SUM(Y8:AA8)</f>
        <v>2538</v>
      </c>
      <c r="AC8" s="361">
        <f t="shared" si="18"/>
        <v>2538</v>
      </c>
      <c r="AD8" s="360">
        <v>0</v>
      </c>
      <c r="AE8" s="360">
        <v>0</v>
      </c>
      <c r="AF8" s="360">
        <v>0</v>
      </c>
      <c r="AG8" s="360">
        <v>1255</v>
      </c>
      <c r="AH8" s="360">
        <v>730</v>
      </c>
      <c r="AI8" s="360">
        <v>0</v>
      </c>
      <c r="AJ8" s="360">
        <v>0</v>
      </c>
      <c r="AK8" s="360">
        <v>0</v>
      </c>
      <c r="AL8" s="360">
        <v>0</v>
      </c>
      <c r="AM8" s="360">
        <v>0</v>
      </c>
      <c r="AN8" s="360">
        <v>0</v>
      </c>
      <c r="AO8" s="360">
        <v>0</v>
      </c>
      <c r="AP8" s="361">
        <f t="shared" si="19"/>
        <v>1985</v>
      </c>
      <c r="AQ8" s="361">
        <f t="shared" si="20"/>
        <v>1985</v>
      </c>
      <c r="AR8" s="360">
        <v>0</v>
      </c>
      <c r="AS8" s="360">
        <v>0</v>
      </c>
      <c r="AT8" s="360">
        <v>0</v>
      </c>
      <c r="AU8" s="360">
        <v>5865</v>
      </c>
      <c r="AV8" s="360">
        <v>2707</v>
      </c>
      <c r="AW8" s="360">
        <v>0</v>
      </c>
      <c r="AX8" s="360">
        <v>0</v>
      </c>
      <c r="AY8" s="360">
        <v>0</v>
      </c>
      <c r="AZ8" s="360">
        <v>0</v>
      </c>
      <c r="BA8" s="360">
        <v>0</v>
      </c>
      <c r="BB8" s="360">
        <v>0</v>
      </c>
      <c r="BC8" s="360">
        <v>0</v>
      </c>
      <c r="BD8" s="361">
        <f t="shared" si="21"/>
        <v>8572</v>
      </c>
      <c r="BE8" s="361">
        <f t="shared" si="22"/>
        <v>8572</v>
      </c>
      <c r="BF8" s="361">
        <f t="shared" si="2"/>
        <v>6034</v>
      </c>
      <c r="BG8" s="361">
        <f t="shared" si="2"/>
        <v>6034</v>
      </c>
      <c r="BH8" s="360">
        <v>46999422</v>
      </c>
      <c r="BI8" s="360">
        <v>60601893</v>
      </c>
      <c r="BJ8" s="360">
        <v>126618160</v>
      </c>
      <c r="BK8" s="360">
        <v>77258391</v>
      </c>
      <c r="BL8" s="360">
        <v>-10585742</v>
      </c>
      <c r="BM8" s="360">
        <f t="shared" si="3"/>
        <v>46999422</v>
      </c>
      <c r="BN8" s="360">
        <f t="shared" si="23"/>
        <v>5482.900373308446</v>
      </c>
      <c r="BO8" s="360">
        <f t="shared" si="4"/>
        <v>60601893</v>
      </c>
      <c r="BP8" s="360">
        <f t="shared" si="24"/>
        <v>11052.889688643405</v>
      </c>
      <c r="BQ8" s="360">
        <f t="shared" si="5"/>
        <v>1985</v>
      </c>
      <c r="BR8" s="360">
        <f t="shared" si="25"/>
        <v>2559.494404101395</v>
      </c>
      <c r="BS8" s="360">
        <f t="shared" si="6"/>
        <v>2538</v>
      </c>
      <c r="BT8" s="360">
        <f t="shared" si="7"/>
        <v>1985</v>
      </c>
      <c r="BU8" s="360">
        <f t="shared" si="8"/>
        <v>8572</v>
      </c>
      <c r="BV8" s="360">
        <f t="shared" si="9"/>
        <v>6034</v>
      </c>
      <c r="BW8" s="360">
        <f t="shared" si="10"/>
        <v>46999422</v>
      </c>
      <c r="BX8" s="360">
        <f t="shared" si="11"/>
        <v>60601893</v>
      </c>
      <c r="BY8" s="360">
        <f t="shared" si="12"/>
        <v>11052.889688643405</v>
      </c>
      <c r="BZ8" s="360">
        <f t="shared" si="13"/>
        <v>2559.494404101395</v>
      </c>
      <c r="CA8" s="360">
        <f>SUMIF(NPR!A:A,A8,NPR!AQ:AQ)</f>
        <v>30075581.30031529</v>
      </c>
      <c r="CB8" s="360">
        <f>SUMIF(NPR!A:A,A8,NPR!AR:AR)</f>
        <v>0</v>
      </c>
      <c r="CC8" s="360">
        <f t="shared" si="26"/>
        <v>1985</v>
      </c>
      <c r="CD8" s="360">
        <f t="shared" si="27"/>
        <v>8572</v>
      </c>
      <c r="CE8" s="362">
        <f t="shared" si="28"/>
        <v>0.2315678954736351</v>
      </c>
      <c r="CF8" s="363">
        <v>7146577.313333392</v>
      </c>
      <c r="CG8" s="363">
        <v>7902870.75</v>
      </c>
      <c r="CH8" s="363">
        <f t="shared" si="29"/>
        <v>4573193.836429462</v>
      </c>
      <c r="CI8" s="363">
        <f t="shared" si="30"/>
        <v>0</v>
      </c>
      <c r="CJ8" s="362">
        <f t="shared" si="31"/>
        <v>0.022709851613715148</v>
      </c>
      <c r="CK8" s="362">
        <f t="shared" si="32"/>
        <v>0.014128912705859191</v>
      </c>
      <c r="CL8" s="362">
        <f t="shared" si="33"/>
        <v>0.03323527745189193</v>
      </c>
      <c r="CM8" s="362">
        <f t="shared" si="34"/>
        <v>0.025176333903743027</v>
      </c>
      <c r="CN8" s="362" t="e">
        <f t="shared" si="35"/>
        <v>#DIV/0!</v>
      </c>
      <c r="CO8" s="359" t="s">
        <v>140</v>
      </c>
      <c r="CP8" s="360">
        <v>421</v>
      </c>
      <c r="CQ8" s="360">
        <v>73</v>
      </c>
      <c r="CR8" s="360"/>
      <c r="CS8" s="360"/>
      <c r="CT8" s="361">
        <f t="shared" si="14"/>
        <v>494</v>
      </c>
      <c r="CU8" s="360">
        <v>297</v>
      </c>
      <c r="CV8" s="360">
        <v>94</v>
      </c>
      <c r="CW8" s="360"/>
      <c r="CX8" s="360"/>
      <c r="CY8" s="361">
        <f t="shared" si="15"/>
        <v>391</v>
      </c>
      <c r="CZ8" s="360">
        <v>1520</v>
      </c>
      <c r="DA8" s="360">
        <v>392</v>
      </c>
      <c r="DB8" s="360"/>
      <c r="DC8" s="360"/>
      <c r="DD8" s="361">
        <f t="shared" si="16"/>
        <v>1912</v>
      </c>
      <c r="DE8" s="360">
        <f t="shared" si="36"/>
        <v>1418</v>
      </c>
      <c r="DF8" s="360">
        <f>4376213+1333384+7547196</f>
        <v>13256793</v>
      </c>
      <c r="DG8" s="360">
        <f>2272793+385072</f>
        <v>2657865</v>
      </c>
      <c r="DH8" s="360"/>
      <c r="DI8" s="360"/>
      <c r="DJ8" s="361">
        <f t="shared" si="17"/>
        <v>15914658</v>
      </c>
      <c r="DK8" s="362">
        <f t="shared" si="37"/>
        <v>0.1479039359323815</v>
      </c>
      <c r="DL8" s="360">
        <f aca="true" t="shared" si="40" ref="DL8:DL30">CA8*(1-DK8)</f>
        <v>25627284.450544327</v>
      </c>
      <c r="DM8" s="360">
        <f t="shared" si="38"/>
        <v>0</v>
      </c>
    </row>
    <row r="9" spans="1:117" ht="12.75">
      <c r="A9" s="85" t="s">
        <v>7</v>
      </c>
      <c r="B9" s="86">
        <v>1005551</v>
      </c>
      <c r="C9" s="87" t="s">
        <v>32</v>
      </c>
      <c r="D9" s="357">
        <v>41640</v>
      </c>
      <c r="E9" s="357">
        <v>42004</v>
      </c>
      <c r="F9" s="358">
        <f t="shared" si="0"/>
        <v>365</v>
      </c>
      <c r="G9" s="87" t="s">
        <v>116</v>
      </c>
      <c r="H9" s="88" t="s">
        <v>53</v>
      </c>
      <c r="I9" s="359" t="str">
        <f>VLOOKUP(H9,'Parameters and Analysis'!$A$29:$B$36,2,FALSE)</f>
        <v>Included</v>
      </c>
      <c r="J9" s="87" t="s">
        <v>106</v>
      </c>
      <c r="K9" s="360">
        <v>122</v>
      </c>
      <c r="L9" s="360">
        <v>0</v>
      </c>
      <c r="M9" s="360">
        <v>0</v>
      </c>
      <c r="N9" s="360">
        <v>0</v>
      </c>
      <c r="O9" s="361">
        <f t="shared" si="1"/>
        <v>122</v>
      </c>
      <c r="P9" s="360">
        <v>0</v>
      </c>
      <c r="Q9" s="360">
        <v>0</v>
      </c>
      <c r="R9" s="360">
        <v>0</v>
      </c>
      <c r="S9" s="360">
        <v>5139</v>
      </c>
      <c r="T9" s="360">
        <v>0</v>
      </c>
      <c r="U9" s="360">
        <v>0</v>
      </c>
      <c r="V9" s="360">
        <v>0</v>
      </c>
      <c r="W9" s="360">
        <v>0</v>
      </c>
      <c r="X9" s="360">
        <v>0</v>
      </c>
      <c r="Y9" s="360">
        <v>0</v>
      </c>
      <c r="Z9" s="360">
        <v>0</v>
      </c>
      <c r="AA9" s="360">
        <v>0</v>
      </c>
      <c r="AB9" s="361">
        <f t="shared" si="39"/>
        <v>5139</v>
      </c>
      <c r="AC9" s="361">
        <f t="shared" si="18"/>
        <v>5139</v>
      </c>
      <c r="AD9" s="360">
        <v>666</v>
      </c>
      <c r="AE9" s="360">
        <v>0</v>
      </c>
      <c r="AF9" s="360">
        <v>0</v>
      </c>
      <c r="AG9" s="360">
        <v>3737</v>
      </c>
      <c r="AH9" s="360">
        <v>0</v>
      </c>
      <c r="AI9" s="360">
        <v>0</v>
      </c>
      <c r="AJ9" s="360">
        <v>0</v>
      </c>
      <c r="AK9" s="360">
        <v>0</v>
      </c>
      <c r="AL9" s="360">
        <v>0</v>
      </c>
      <c r="AM9" s="360">
        <v>350</v>
      </c>
      <c r="AN9" s="360">
        <v>0</v>
      </c>
      <c r="AO9" s="360">
        <v>0</v>
      </c>
      <c r="AP9" s="361">
        <f t="shared" si="19"/>
        <v>3737</v>
      </c>
      <c r="AQ9" s="361">
        <f t="shared" si="20"/>
        <v>4087</v>
      </c>
      <c r="AR9" s="360">
        <v>0</v>
      </c>
      <c r="AS9" s="360">
        <v>0</v>
      </c>
      <c r="AT9" s="360">
        <v>0</v>
      </c>
      <c r="AU9" s="360">
        <v>20840</v>
      </c>
      <c r="AV9" s="360">
        <v>0</v>
      </c>
      <c r="AW9" s="360">
        <v>0</v>
      </c>
      <c r="AX9" s="360">
        <v>0</v>
      </c>
      <c r="AY9" s="360">
        <v>0</v>
      </c>
      <c r="AZ9" s="360">
        <v>0</v>
      </c>
      <c r="BA9" s="360">
        <v>878</v>
      </c>
      <c r="BB9" s="360">
        <v>0</v>
      </c>
      <c r="BC9" s="360">
        <v>0</v>
      </c>
      <c r="BD9" s="361">
        <f t="shared" si="21"/>
        <v>20840</v>
      </c>
      <c r="BE9" s="361">
        <f t="shared" si="22"/>
        <v>21718</v>
      </c>
      <c r="BF9" s="361">
        <f t="shared" si="2"/>
        <v>15701</v>
      </c>
      <c r="BG9" s="361">
        <f t="shared" si="2"/>
        <v>16579</v>
      </c>
      <c r="BH9" s="360">
        <v>172605429</v>
      </c>
      <c r="BI9" s="360">
        <v>236192726</v>
      </c>
      <c r="BJ9" s="360">
        <v>392766325</v>
      </c>
      <c r="BK9" s="360">
        <v>225720158</v>
      </c>
      <c r="BL9" s="360">
        <v>15265211</v>
      </c>
      <c r="BM9" s="360">
        <f t="shared" si="3"/>
        <v>172605429</v>
      </c>
      <c r="BN9" s="360">
        <f t="shared" si="23"/>
        <v>7947.574776682935</v>
      </c>
      <c r="BO9" s="360">
        <f t="shared" si="4"/>
        <v>236192726</v>
      </c>
      <c r="BP9" s="360">
        <f t="shared" si="24"/>
        <v>29718.84287178476</v>
      </c>
      <c r="BQ9" s="360">
        <f t="shared" si="5"/>
        <v>4087</v>
      </c>
      <c r="BR9" s="360">
        <f t="shared" si="25"/>
        <v>5592.637941660572</v>
      </c>
      <c r="BS9" s="360">
        <f t="shared" si="6"/>
        <v>5139</v>
      </c>
      <c r="BT9" s="360">
        <f t="shared" si="7"/>
        <v>3737.0000000000005</v>
      </c>
      <c r="BU9" s="360">
        <f t="shared" si="8"/>
        <v>20840</v>
      </c>
      <c r="BV9" s="360">
        <f t="shared" si="9"/>
        <v>15701</v>
      </c>
      <c r="BW9" s="360">
        <f t="shared" si="10"/>
        <v>172605429</v>
      </c>
      <c r="BX9" s="360">
        <f t="shared" si="11"/>
        <v>236192726</v>
      </c>
      <c r="BY9" s="360">
        <f t="shared" si="12"/>
        <v>29718.84287178476</v>
      </c>
      <c r="BZ9" s="360">
        <f t="shared" si="13"/>
        <v>5592.637941660572</v>
      </c>
      <c r="CA9" s="360">
        <f>SUMIF(NPR!A:A,A9,NPR!AQ:AQ)</f>
        <v>78501137.68547072</v>
      </c>
      <c r="CB9" s="360">
        <f>SUMIF(NPR!A:A,A9,NPR!AR:AR)</f>
        <v>0</v>
      </c>
      <c r="CC9" s="360">
        <f t="shared" si="26"/>
        <v>3737.0000000000005</v>
      </c>
      <c r="CD9" s="360">
        <f t="shared" si="27"/>
        <v>20840</v>
      </c>
      <c r="CE9" s="362">
        <f t="shared" si="28"/>
        <v>0.1793186180422265</v>
      </c>
      <c r="CF9" s="363">
        <v>20394991.13833332</v>
      </c>
      <c r="CG9" s="363">
        <v>19970871.828333333</v>
      </c>
      <c r="CH9" s="363">
        <f t="shared" si="29"/>
        <v>9275664.25181365</v>
      </c>
      <c r="CI9" s="363">
        <f t="shared" si="30"/>
        <v>0</v>
      </c>
      <c r="CJ9" s="362">
        <f t="shared" si="31"/>
        <v>0.042754012836500516</v>
      </c>
      <c r="CK9" s="362">
        <f t="shared" si="32"/>
        <v>0.04032126664223781</v>
      </c>
      <c r="CL9" s="362">
        <f t="shared" si="33"/>
        <v>0.08398688111795712</v>
      </c>
      <c r="CM9" s="362">
        <f t="shared" si="34"/>
        <v>0.05106436086798377</v>
      </c>
      <c r="CN9" s="362" t="e">
        <f t="shared" si="35"/>
        <v>#DIV/0!</v>
      </c>
      <c r="CO9" s="359" t="s">
        <v>139</v>
      </c>
      <c r="CP9" s="360">
        <v>1041</v>
      </c>
      <c r="CQ9" s="360"/>
      <c r="CR9" s="360"/>
      <c r="CS9" s="360"/>
      <c r="CT9" s="361">
        <f t="shared" si="14"/>
        <v>1041</v>
      </c>
      <c r="CU9" s="360">
        <v>923</v>
      </c>
      <c r="CV9" s="360"/>
      <c r="CW9" s="360"/>
      <c r="CX9" s="360"/>
      <c r="CY9" s="361">
        <f t="shared" si="15"/>
        <v>923</v>
      </c>
      <c r="CZ9" s="360">
        <v>4570</v>
      </c>
      <c r="DA9" s="360"/>
      <c r="DB9" s="360"/>
      <c r="DC9" s="360"/>
      <c r="DD9" s="361">
        <f t="shared" si="16"/>
        <v>4570</v>
      </c>
      <c r="DE9" s="360">
        <f t="shared" si="36"/>
        <v>3529</v>
      </c>
      <c r="DF9" s="360">
        <f>11719536+5723966+28791490</f>
        <v>46234992</v>
      </c>
      <c r="DG9" s="360"/>
      <c r="DH9" s="360"/>
      <c r="DI9" s="360"/>
      <c r="DJ9" s="361">
        <f t="shared" si="17"/>
        <v>46234992</v>
      </c>
      <c r="DK9" s="362">
        <f t="shared" si="37"/>
        <v>0.1130998059421281</v>
      </c>
      <c r="DL9" s="360">
        <f t="shared" si="40"/>
        <v>69622674.2470077</v>
      </c>
      <c r="DM9" s="360">
        <f t="shared" si="38"/>
        <v>0</v>
      </c>
    </row>
    <row r="10" spans="1:117" ht="12.75">
      <c r="A10" s="85" t="s">
        <v>4</v>
      </c>
      <c r="B10" s="86">
        <v>1005744</v>
      </c>
      <c r="C10" s="87" t="s">
        <v>29</v>
      </c>
      <c r="D10" s="357">
        <v>41640</v>
      </c>
      <c r="E10" s="357">
        <v>42004</v>
      </c>
      <c r="F10" s="358">
        <f t="shared" si="0"/>
        <v>365</v>
      </c>
      <c r="G10" s="87" t="s">
        <v>116</v>
      </c>
      <c r="H10" s="88" t="s">
        <v>53</v>
      </c>
      <c r="I10" s="359" t="str">
        <f>VLOOKUP(H10,'Parameters and Analysis'!$A$29:$B$36,2,FALSE)</f>
        <v>Included</v>
      </c>
      <c r="J10" s="87" t="s">
        <v>104</v>
      </c>
      <c r="K10" s="360">
        <v>116</v>
      </c>
      <c r="L10" s="360">
        <v>0</v>
      </c>
      <c r="M10" s="360">
        <v>10</v>
      </c>
      <c r="N10" s="360">
        <v>0</v>
      </c>
      <c r="O10" s="361">
        <f t="shared" si="1"/>
        <v>126</v>
      </c>
      <c r="P10" s="360">
        <v>109</v>
      </c>
      <c r="Q10" s="360">
        <v>0</v>
      </c>
      <c r="R10" s="360">
        <v>0</v>
      </c>
      <c r="S10" s="360">
        <v>8629</v>
      </c>
      <c r="T10" s="360">
        <v>0</v>
      </c>
      <c r="U10" s="360">
        <v>1073</v>
      </c>
      <c r="V10" s="360">
        <v>0</v>
      </c>
      <c r="W10" s="360">
        <v>0</v>
      </c>
      <c r="X10" s="360">
        <v>0</v>
      </c>
      <c r="Y10" s="360">
        <v>0</v>
      </c>
      <c r="Z10" s="360">
        <v>0</v>
      </c>
      <c r="AA10" s="360">
        <v>0</v>
      </c>
      <c r="AB10" s="361">
        <f t="shared" si="39"/>
        <v>9811</v>
      </c>
      <c r="AC10" s="361">
        <f t="shared" si="18"/>
        <v>9811</v>
      </c>
      <c r="AD10" s="360">
        <v>34</v>
      </c>
      <c r="AE10" s="360">
        <v>0</v>
      </c>
      <c r="AF10" s="360">
        <v>0</v>
      </c>
      <c r="AG10" s="360">
        <v>3043</v>
      </c>
      <c r="AH10" s="360">
        <v>0</v>
      </c>
      <c r="AI10" s="360">
        <v>159</v>
      </c>
      <c r="AJ10" s="360">
        <v>0</v>
      </c>
      <c r="AK10" s="360">
        <v>0</v>
      </c>
      <c r="AL10" s="360">
        <v>0</v>
      </c>
      <c r="AM10" s="360">
        <v>47</v>
      </c>
      <c r="AN10" s="360">
        <v>0</v>
      </c>
      <c r="AO10" s="360">
        <v>0</v>
      </c>
      <c r="AP10" s="361">
        <f t="shared" si="19"/>
        <v>3202</v>
      </c>
      <c r="AQ10" s="361">
        <f t="shared" si="20"/>
        <v>3249</v>
      </c>
      <c r="AR10" s="360">
        <v>0</v>
      </c>
      <c r="AS10" s="360">
        <v>0</v>
      </c>
      <c r="AT10" s="360">
        <v>0</v>
      </c>
      <c r="AU10" s="360">
        <v>23191</v>
      </c>
      <c r="AV10" s="360">
        <v>0</v>
      </c>
      <c r="AW10" s="360">
        <v>2428</v>
      </c>
      <c r="AX10" s="360">
        <v>0</v>
      </c>
      <c r="AY10" s="360">
        <v>0</v>
      </c>
      <c r="AZ10" s="360">
        <v>0</v>
      </c>
      <c r="BA10" s="360">
        <v>145</v>
      </c>
      <c r="BB10" s="360">
        <v>0</v>
      </c>
      <c r="BC10" s="360">
        <v>0</v>
      </c>
      <c r="BD10" s="361">
        <f t="shared" si="21"/>
        <v>25619</v>
      </c>
      <c r="BE10" s="361">
        <f t="shared" si="22"/>
        <v>25764</v>
      </c>
      <c r="BF10" s="361">
        <f t="shared" si="2"/>
        <v>15808</v>
      </c>
      <c r="BG10" s="361">
        <f t="shared" si="2"/>
        <v>15953</v>
      </c>
      <c r="BH10" s="360">
        <v>442072853</v>
      </c>
      <c r="BI10" s="360">
        <v>215390912</v>
      </c>
      <c r="BJ10" s="360">
        <v>657463765</v>
      </c>
      <c r="BK10" s="360">
        <v>211540400</v>
      </c>
      <c r="BL10" s="360">
        <v>62757136</v>
      </c>
      <c r="BM10" s="360">
        <f t="shared" si="3"/>
        <v>442072853</v>
      </c>
      <c r="BN10" s="360">
        <f t="shared" si="23"/>
        <v>17158.548866635614</v>
      </c>
      <c r="BO10" s="360">
        <f t="shared" si="4"/>
        <v>215390912</v>
      </c>
      <c r="BP10" s="360">
        <f t="shared" si="24"/>
        <v>12552.979489939411</v>
      </c>
      <c r="BQ10" s="360">
        <f t="shared" si="5"/>
        <v>3249</v>
      </c>
      <c r="BR10" s="360">
        <f t="shared" si="25"/>
        <v>1583.008475501209</v>
      </c>
      <c r="BS10" s="360">
        <f t="shared" si="6"/>
        <v>9811</v>
      </c>
      <c r="BT10" s="360">
        <f t="shared" si="7"/>
        <v>3202</v>
      </c>
      <c r="BU10" s="360">
        <f t="shared" si="8"/>
        <v>25619.000000000004</v>
      </c>
      <c r="BV10" s="360">
        <f t="shared" si="9"/>
        <v>15808</v>
      </c>
      <c r="BW10" s="360">
        <f t="shared" si="10"/>
        <v>442072853</v>
      </c>
      <c r="BX10" s="360">
        <f t="shared" si="11"/>
        <v>215390912</v>
      </c>
      <c r="BY10" s="360">
        <f t="shared" si="12"/>
        <v>12552.979489939411</v>
      </c>
      <c r="BZ10" s="360">
        <f t="shared" si="13"/>
        <v>1583.008475501209</v>
      </c>
      <c r="CA10" s="360">
        <f>SUMIF(NPR!A:A,A10,NPR!AQ:AQ)</f>
        <v>142415720.0994041</v>
      </c>
      <c r="CB10" s="360">
        <f>SUMIF(NPR!A:A,A10,NPR!AR:AR)</f>
        <v>0</v>
      </c>
      <c r="CC10" s="360">
        <f t="shared" si="26"/>
        <v>3202</v>
      </c>
      <c r="CD10" s="360">
        <f t="shared" si="27"/>
        <v>25619.000000000004</v>
      </c>
      <c r="CE10" s="362">
        <f t="shared" si="28"/>
        <v>0.1249853624263242</v>
      </c>
      <c r="CF10" s="363">
        <v>46249797.38666725</v>
      </c>
      <c r="CG10" s="363">
        <v>25826112.515000343</v>
      </c>
      <c r="CH10" s="363">
        <f t="shared" si="29"/>
        <v>14899576.29059334</v>
      </c>
      <c r="CI10" s="363">
        <f t="shared" si="30"/>
        <v>0</v>
      </c>
      <c r="CJ10" s="362">
        <f t="shared" si="31"/>
        <v>0.03663322159552439</v>
      </c>
      <c r="CK10" s="362">
        <f t="shared" si="32"/>
        <v>0.0914366865829234</v>
      </c>
      <c r="CL10" s="362">
        <f t="shared" si="33"/>
        <v>0.10861091394412782</v>
      </c>
      <c r="CM10" s="362">
        <f t="shared" si="34"/>
        <v>0.08202510567738029</v>
      </c>
      <c r="CN10" s="362" t="e">
        <f t="shared" si="35"/>
        <v>#DIV/0!</v>
      </c>
      <c r="CO10" s="359" t="s">
        <v>140</v>
      </c>
      <c r="CP10" s="360">
        <v>1667</v>
      </c>
      <c r="CQ10" s="360"/>
      <c r="CR10" s="360">
        <v>78</v>
      </c>
      <c r="CS10" s="360"/>
      <c r="CT10" s="361">
        <f t="shared" si="14"/>
        <v>1745</v>
      </c>
      <c r="CU10" s="360">
        <v>611</v>
      </c>
      <c r="CV10" s="360"/>
      <c r="CW10" s="360"/>
      <c r="CX10" s="360"/>
      <c r="CY10" s="361">
        <f t="shared" si="15"/>
        <v>611</v>
      </c>
      <c r="CZ10" s="360">
        <v>5090</v>
      </c>
      <c r="DA10" s="360"/>
      <c r="DB10" s="360">
        <v>165</v>
      </c>
      <c r="DC10" s="360"/>
      <c r="DD10" s="361">
        <f t="shared" si="16"/>
        <v>5255</v>
      </c>
      <c r="DE10" s="360">
        <f t="shared" si="36"/>
        <v>3510</v>
      </c>
      <c r="DF10" s="360">
        <f>16155900+10851931+8369996+129700402</f>
        <v>165078229</v>
      </c>
      <c r="DG10" s="360"/>
      <c r="DH10" s="360">
        <f>2425705+2715927</f>
        <v>5141632</v>
      </c>
      <c r="DI10" s="360"/>
      <c r="DJ10" s="361">
        <f t="shared" si="17"/>
        <v>170219861</v>
      </c>
      <c r="DK10" s="362">
        <f t="shared" si="37"/>
        <v>0.25890379069027475</v>
      </c>
      <c r="DL10" s="360">
        <f t="shared" si="40"/>
        <v>105543750.31178322</v>
      </c>
      <c r="DM10" s="360">
        <f t="shared" si="38"/>
        <v>0</v>
      </c>
    </row>
    <row r="11" spans="1:117" ht="12.75">
      <c r="A11" s="85" t="s">
        <v>6</v>
      </c>
      <c r="B11" s="86">
        <v>1005528</v>
      </c>
      <c r="C11" s="87" t="s">
        <v>31</v>
      </c>
      <c r="D11" s="357">
        <v>41456</v>
      </c>
      <c r="E11" s="357">
        <v>41820</v>
      </c>
      <c r="F11" s="358">
        <f t="shared" si="0"/>
        <v>365</v>
      </c>
      <c r="G11" s="87" t="s">
        <v>117</v>
      </c>
      <c r="H11" s="88" t="s">
        <v>53</v>
      </c>
      <c r="I11" s="359" t="str">
        <f>VLOOKUP(H11,'Parameters and Analysis'!$A$29:$B$36,2,FALSE)</f>
        <v>Included</v>
      </c>
      <c r="J11" s="87" t="s">
        <v>106</v>
      </c>
      <c r="K11" s="360">
        <v>46</v>
      </c>
      <c r="L11" s="360">
        <v>0</v>
      </c>
      <c r="M11" s="360">
        <v>0</v>
      </c>
      <c r="N11" s="360">
        <v>0</v>
      </c>
      <c r="O11" s="361">
        <f t="shared" si="1"/>
        <v>46</v>
      </c>
      <c r="P11" s="360">
        <v>0</v>
      </c>
      <c r="Q11" s="360">
        <v>0</v>
      </c>
      <c r="R11" s="360">
        <v>0</v>
      </c>
      <c r="S11" s="360">
        <v>4139</v>
      </c>
      <c r="T11" s="360">
        <v>0</v>
      </c>
      <c r="U11" s="360">
        <v>0</v>
      </c>
      <c r="V11" s="360">
        <v>0</v>
      </c>
      <c r="W11" s="360">
        <v>0</v>
      </c>
      <c r="X11" s="360">
        <v>0</v>
      </c>
      <c r="Y11" s="360">
        <v>0</v>
      </c>
      <c r="Z11" s="360">
        <v>503</v>
      </c>
      <c r="AA11" s="360">
        <v>0</v>
      </c>
      <c r="AB11" s="361">
        <f t="shared" si="39"/>
        <v>3636</v>
      </c>
      <c r="AC11" s="361">
        <f t="shared" si="18"/>
        <v>4139</v>
      </c>
      <c r="AD11" s="360">
        <v>0</v>
      </c>
      <c r="AE11" s="360">
        <v>0</v>
      </c>
      <c r="AF11" s="360">
        <v>0</v>
      </c>
      <c r="AG11" s="360">
        <v>1651</v>
      </c>
      <c r="AH11" s="360">
        <v>0</v>
      </c>
      <c r="AI11" s="360">
        <v>0</v>
      </c>
      <c r="AJ11" s="360">
        <v>0</v>
      </c>
      <c r="AK11" s="360">
        <v>0</v>
      </c>
      <c r="AL11" s="360">
        <v>0</v>
      </c>
      <c r="AM11" s="360">
        <v>0</v>
      </c>
      <c r="AN11" s="360">
        <v>0</v>
      </c>
      <c r="AO11" s="360">
        <v>0</v>
      </c>
      <c r="AP11" s="361">
        <f t="shared" si="19"/>
        <v>1651</v>
      </c>
      <c r="AQ11" s="361">
        <f t="shared" si="20"/>
        <v>1651</v>
      </c>
      <c r="AR11" s="360">
        <v>0</v>
      </c>
      <c r="AS11" s="360">
        <v>0</v>
      </c>
      <c r="AT11" s="360">
        <v>0</v>
      </c>
      <c r="AU11" s="360">
        <v>10596</v>
      </c>
      <c r="AV11" s="360">
        <v>0</v>
      </c>
      <c r="AW11" s="360">
        <v>0</v>
      </c>
      <c r="AX11" s="360">
        <v>0</v>
      </c>
      <c r="AY11" s="360">
        <v>0</v>
      </c>
      <c r="AZ11" s="360">
        <v>0</v>
      </c>
      <c r="BA11" s="360">
        <v>0</v>
      </c>
      <c r="BB11" s="360">
        <v>503</v>
      </c>
      <c r="BC11" s="360">
        <v>887</v>
      </c>
      <c r="BD11" s="361">
        <f t="shared" si="21"/>
        <v>9206</v>
      </c>
      <c r="BE11" s="361">
        <f t="shared" si="22"/>
        <v>10596</v>
      </c>
      <c r="BF11" s="361">
        <f t="shared" si="2"/>
        <v>5570</v>
      </c>
      <c r="BG11" s="361">
        <f t="shared" si="2"/>
        <v>6457</v>
      </c>
      <c r="BH11" s="360">
        <v>98651585</v>
      </c>
      <c r="BI11" s="360">
        <v>114800844</v>
      </c>
      <c r="BJ11" s="360">
        <v>230594709</v>
      </c>
      <c r="BK11" s="360">
        <v>142862617</v>
      </c>
      <c r="BL11" s="360">
        <v>17872775</v>
      </c>
      <c r="BM11" s="360">
        <f t="shared" si="3"/>
        <v>98651585</v>
      </c>
      <c r="BN11" s="360">
        <f t="shared" si="23"/>
        <v>9310.266610041524</v>
      </c>
      <c r="BO11" s="360">
        <f t="shared" si="4"/>
        <v>114800844</v>
      </c>
      <c r="BP11" s="360">
        <f t="shared" si="24"/>
        <v>12330.564613067292</v>
      </c>
      <c r="BQ11" s="360">
        <f t="shared" si="5"/>
        <v>1651</v>
      </c>
      <c r="BR11" s="360">
        <f t="shared" si="25"/>
        <v>1921.268608547952</v>
      </c>
      <c r="BS11" s="360">
        <f t="shared" si="6"/>
        <v>3636</v>
      </c>
      <c r="BT11" s="360">
        <f t="shared" si="7"/>
        <v>1651.0000000000002</v>
      </c>
      <c r="BU11" s="360">
        <f t="shared" si="8"/>
        <v>9206</v>
      </c>
      <c r="BV11" s="360">
        <f t="shared" si="9"/>
        <v>5570</v>
      </c>
      <c r="BW11" s="360">
        <f t="shared" si="10"/>
        <v>98651585</v>
      </c>
      <c r="BX11" s="360">
        <f t="shared" si="11"/>
        <v>114800844</v>
      </c>
      <c r="BY11" s="360">
        <f t="shared" si="12"/>
        <v>12330.564613067292</v>
      </c>
      <c r="BZ11" s="360">
        <f t="shared" si="13"/>
        <v>1921.2686085479522</v>
      </c>
      <c r="CA11" s="360">
        <f>SUMIF(NPR!A:A,A11,NPR!AQ:AQ)</f>
        <v>44734757.33883531</v>
      </c>
      <c r="CB11" s="360">
        <f>SUMIF(NPR!A:A,A11,NPR!AR:AR)</f>
        <v>0</v>
      </c>
      <c r="CC11" s="360">
        <f t="shared" si="26"/>
        <v>1651.0000000000002</v>
      </c>
      <c r="CD11" s="360">
        <f t="shared" si="27"/>
        <v>9206</v>
      </c>
      <c r="CE11" s="362">
        <f t="shared" si="28"/>
        <v>0.179339561155768</v>
      </c>
      <c r="CF11" s="363">
        <v>13657028.833333492</v>
      </c>
      <c r="CG11" s="363">
        <v>17414667</v>
      </c>
      <c r="CH11" s="363">
        <f t="shared" si="29"/>
        <v>6192945.311812788</v>
      </c>
      <c r="CI11" s="363">
        <f t="shared" si="30"/>
        <v>0</v>
      </c>
      <c r="CJ11" s="362">
        <f t="shared" si="31"/>
        <v>0.018888647362339403</v>
      </c>
      <c r="CK11" s="362">
        <f t="shared" si="32"/>
        <v>0.02700019320403443</v>
      </c>
      <c r="CL11" s="362">
        <f t="shared" si="33"/>
        <v>0.07323684111590797</v>
      </c>
      <c r="CM11" s="362">
        <f t="shared" si="34"/>
        <v>0.034093385190851755</v>
      </c>
      <c r="CN11" s="362" t="e">
        <f t="shared" si="35"/>
        <v>#DIV/0!</v>
      </c>
      <c r="CO11" s="359" t="s">
        <v>139</v>
      </c>
      <c r="CP11" s="360">
        <v>852</v>
      </c>
      <c r="CQ11" s="360"/>
      <c r="CR11" s="360"/>
      <c r="CS11" s="360"/>
      <c r="CT11" s="361">
        <f t="shared" si="14"/>
        <v>852</v>
      </c>
      <c r="CU11" s="360">
        <v>395</v>
      </c>
      <c r="CV11" s="360"/>
      <c r="CW11" s="360"/>
      <c r="CX11" s="360"/>
      <c r="CY11" s="361">
        <f t="shared" si="15"/>
        <v>395</v>
      </c>
      <c r="CZ11" s="360">
        <v>2479</v>
      </c>
      <c r="DA11" s="360"/>
      <c r="DB11" s="360"/>
      <c r="DC11" s="360"/>
      <c r="DD11" s="361">
        <f t="shared" si="16"/>
        <v>2479</v>
      </c>
      <c r="DE11" s="360">
        <f t="shared" si="36"/>
        <v>1627</v>
      </c>
      <c r="DF11" s="360">
        <f>6541945+2412180+26705698</f>
        <v>35659823</v>
      </c>
      <c r="DG11" s="360"/>
      <c r="DH11" s="360"/>
      <c r="DI11" s="360"/>
      <c r="DJ11" s="361">
        <f t="shared" si="17"/>
        <v>35659823</v>
      </c>
      <c r="DK11" s="362">
        <f t="shared" si="37"/>
        <v>0.1670621560366502</v>
      </c>
      <c r="DL11" s="360">
        <f t="shared" si="40"/>
        <v>37261272.32803312</v>
      </c>
      <c r="DM11" s="360">
        <f t="shared" si="38"/>
        <v>0</v>
      </c>
    </row>
    <row r="12" spans="1:117" ht="12.75">
      <c r="A12" s="85" t="s">
        <v>19</v>
      </c>
      <c r="B12" s="85">
        <v>1005536</v>
      </c>
      <c r="C12" s="87" t="s">
        <v>43</v>
      </c>
      <c r="D12" s="357">
        <v>41640</v>
      </c>
      <c r="E12" s="357">
        <v>42004</v>
      </c>
      <c r="F12" s="358">
        <f t="shared" si="0"/>
        <v>365</v>
      </c>
      <c r="G12" s="87" t="s">
        <v>117</v>
      </c>
      <c r="H12" s="88" t="s">
        <v>55</v>
      </c>
      <c r="I12" s="359" t="str">
        <f>VLOOKUP(H12,'Parameters and Analysis'!$A$29:$B$36,2,FALSE)</f>
        <v>Included</v>
      </c>
      <c r="J12" s="87" t="s">
        <v>108</v>
      </c>
      <c r="K12" s="360">
        <v>11</v>
      </c>
      <c r="L12" s="360">
        <v>0</v>
      </c>
      <c r="M12" s="360">
        <v>0</v>
      </c>
      <c r="N12" s="360">
        <v>0</v>
      </c>
      <c r="O12" s="361">
        <f t="shared" si="1"/>
        <v>11</v>
      </c>
      <c r="P12" s="360">
        <v>0</v>
      </c>
      <c r="Q12" s="360">
        <v>0</v>
      </c>
      <c r="R12" s="360">
        <v>0</v>
      </c>
      <c r="S12" s="360">
        <v>435</v>
      </c>
      <c r="T12" s="360">
        <v>0</v>
      </c>
      <c r="U12" s="360">
        <v>0</v>
      </c>
      <c r="V12" s="360">
        <v>0</v>
      </c>
      <c r="W12" s="360">
        <v>0</v>
      </c>
      <c r="X12" s="360">
        <v>0</v>
      </c>
      <c r="Y12" s="360">
        <v>0</v>
      </c>
      <c r="Z12" s="360">
        <v>337</v>
      </c>
      <c r="AA12" s="360">
        <v>0</v>
      </c>
      <c r="AB12" s="361">
        <f t="shared" si="39"/>
        <v>98</v>
      </c>
      <c r="AC12" s="361">
        <f t="shared" si="18"/>
        <v>435</v>
      </c>
      <c r="AD12" s="360">
        <v>0</v>
      </c>
      <c r="AE12" s="360">
        <v>0</v>
      </c>
      <c r="AF12" s="360">
        <v>0</v>
      </c>
      <c r="AG12" s="360">
        <v>75</v>
      </c>
      <c r="AH12" s="360">
        <v>0</v>
      </c>
      <c r="AI12" s="360">
        <v>0</v>
      </c>
      <c r="AJ12" s="360">
        <v>0</v>
      </c>
      <c r="AK12" s="360">
        <v>0</v>
      </c>
      <c r="AL12" s="360">
        <v>0</v>
      </c>
      <c r="AM12" s="360">
        <v>0</v>
      </c>
      <c r="AN12" s="360">
        <v>0</v>
      </c>
      <c r="AO12" s="360">
        <v>35</v>
      </c>
      <c r="AP12" s="361">
        <f t="shared" si="19"/>
        <v>40</v>
      </c>
      <c r="AQ12" s="361">
        <f t="shared" si="20"/>
        <v>75</v>
      </c>
      <c r="AR12" s="360">
        <v>0</v>
      </c>
      <c r="AS12" s="360">
        <v>0</v>
      </c>
      <c r="AT12" s="360">
        <v>0</v>
      </c>
      <c r="AU12" s="360">
        <v>931</v>
      </c>
      <c r="AV12" s="360">
        <v>0</v>
      </c>
      <c r="AW12" s="360">
        <v>0</v>
      </c>
      <c r="AX12" s="360">
        <v>0</v>
      </c>
      <c r="AY12" s="360">
        <v>0</v>
      </c>
      <c r="AZ12" s="360">
        <v>0</v>
      </c>
      <c r="BA12" s="360">
        <v>14</v>
      </c>
      <c r="BB12" s="360">
        <v>377</v>
      </c>
      <c r="BC12" s="360">
        <v>161</v>
      </c>
      <c r="BD12" s="361">
        <f t="shared" si="21"/>
        <v>393</v>
      </c>
      <c r="BE12" s="361">
        <f t="shared" si="22"/>
        <v>945</v>
      </c>
      <c r="BF12" s="361">
        <f t="shared" si="2"/>
        <v>295</v>
      </c>
      <c r="BG12" s="361">
        <f t="shared" si="2"/>
        <v>510</v>
      </c>
      <c r="BH12" s="360">
        <v>8004519</v>
      </c>
      <c r="BI12" s="360">
        <v>7281146</v>
      </c>
      <c r="BJ12" s="360">
        <v>15944046</v>
      </c>
      <c r="BK12" s="360">
        <v>12058477</v>
      </c>
      <c r="BL12" s="360">
        <v>-440939</v>
      </c>
      <c r="BM12" s="360">
        <f t="shared" si="3"/>
        <v>8004519</v>
      </c>
      <c r="BN12" s="360">
        <f t="shared" si="23"/>
        <v>8470.390476190476</v>
      </c>
      <c r="BO12" s="360">
        <f t="shared" si="4"/>
        <v>7281146</v>
      </c>
      <c r="BP12" s="360">
        <f t="shared" si="24"/>
        <v>859.5998048102579</v>
      </c>
      <c r="BQ12" s="360">
        <f t="shared" si="5"/>
        <v>75</v>
      </c>
      <c r="BR12" s="360">
        <f t="shared" si="25"/>
        <v>68.22220673097284</v>
      </c>
      <c r="BS12" s="360">
        <f t="shared" si="6"/>
        <v>98</v>
      </c>
      <c r="BT12" s="360">
        <f t="shared" si="7"/>
        <v>40</v>
      </c>
      <c r="BU12" s="360">
        <f t="shared" si="8"/>
        <v>392.99999999999994</v>
      </c>
      <c r="BV12" s="360">
        <f t="shared" si="9"/>
        <v>295</v>
      </c>
      <c r="BW12" s="360">
        <f t="shared" si="10"/>
        <v>8004519</v>
      </c>
      <c r="BX12" s="360">
        <f t="shared" si="11"/>
        <v>7281145.999999999</v>
      </c>
      <c r="BY12" s="360">
        <f t="shared" si="12"/>
        <v>859.5998048102579</v>
      </c>
      <c r="BZ12" s="360">
        <f t="shared" si="13"/>
        <v>68.22220673097284</v>
      </c>
      <c r="CA12" s="360">
        <f>SUMIF(NPR!A:A,A12,NPR!AQ:AQ)</f>
        <v>1858474.17369696</v>
      </c>
      <c r="CB12" s="360">
        <f>SUMIF(NPR!A:A,A12,NPR!AR:AR)</f>
        <v>0</v>
      </c>
      <c r="CC12" s="360">
        <f t="shared" si="26"/>
        <v>40</v>
      </c>
      <c r="CD12" s="360">
        <f t="shared" si="27"/>
        <v>392.99999999999994</v>
      </c>
      <c r="CE12" s="362">
        <f t="shared" si="28"/>
        <v>0.10178117048346058</v>
      </c>
      <c r="CF12" s="363">
        <v>392188.3399999887</v>
      </c>
      <c r="CG12" s="363">
        <v>1159166.4983332753</v>
      </c>
      <c r="CH12" s="363">
        <f t="shared" si="29"/>
        <v>91057.5515049763</v>
      </c>
      <c r="CI12" s="363">
        <f t="shared" si="30"/>
        <v>0</v>
      </c>
      <c r="CJ12" s="362">
        <f t="shared" si="31"/>
        <v>0.0004576292516617662</v>
      </c>
      <c r="CK12" s="362">
        <f t="shared" si="32"/>
        <v>0.0007753634470276337</v>
      </c>
      <c r="CL12" s="362">
        <f t="shared" si="33"/>
        <v>0.004874838701499</v>
      </c>
      <c r="CM12" s="362">
        <f t="shared" si="34"/>
        <v>0.000501289777591504</v>
      </c>
      <c r="CN12" s="362" t="e">
        <f t="shared" si="35"/>
        <v>#DIV/0!</v>
      </c>
      <c r="CO12" s="359" t="s">
        <v>139</v>
      </c>
      <c r="CP12" s="360">
        <v>29</v>
      </c>
      <c r="CQ12" s="360"/>
      <c r="CR12" s="360"/>
      <c r="CS12" s="360"/>
      <c r="CT12" s="361">
        <f t="shared" si="14"/>
        <v>29</v>
      </c>
      <c r="CU12" s="360">
        <v>17</v>
      </c>
      <c r="CV12" s="360"/>
      <c r="CW12" s="360"/>
      <c r="CX12" s="360"/>
      <c r="CY12" s="361">
        <f t="shared" si="15"/>
        <v>17</v>
      </c>
      <c r="CZ12" s="360">
        <v>137</v>
      </c>
      <c r="DA12" s="360"/>
      <c r="DB12" s="360"/>
      <c r="DC12" s="360"/>
      <c r="DD12" s="361">
        <f t="shared" si="16"/>
        <v>137</v>
      </c>
      <c r="DE12" s="360">
        <f t="shared" si="36"/>
        <v>108</v>
      </c>
      <c r="DF12" s="360">
        <f>308497+100441</f>
        <v>408938</v>
      </c>
      <c r="DG12" s="360"/>
      <c r="DH12" s="360"/>
      <c r="DI12" s="360"/>
      <c r="DJ12" s="361">
        <f t="shared" si="17"/>
        <v>408938</v>
      </c>
      <c r="DK12" s="362">
        <f t="shared" si="37"/>
        <v>0.026753039530828394</v>
      </c>
      <c r="DL12" s="360">
        <f t="shared" si="40"/>
        <v>1808754.3406610216</v>
      </c>
      <c r="DM12" s="360">
        <f t="shared" si="38"/>
        <v>0</v>
      </c>
    </row>
    <row r="13" spans="1:117" ht="12.75">
      <c r="A13" s="85" t="s">
        <v>16</v>
      </c>
      <c r="B13" s="86">
        <v>1006087</v>
      </c>
      <c r="C13" s="87" t="s">
        <v>40</v>
      </c>
      <c r="D13" s="357">
        <v>41640</v>
      </c>
      <c r="E13" s="357">
        <v>42004</v>
      </c>
      <c r="F13" s="358">
        <f t="shared" si="0"/>
        <v>365</v>
      </c>
      <c r="G13" s="87" t="s">
        <v>117</v>
      </c>
      <c r="H13" s="88" t="s">
        <v>55</v>
      </c>
      <c r="I13" s="359" t="str">
        <f>VLOOKUP(H13,'Parameters and Analysis'!$A$29:$B$36,2,FALSE)</f>
        <v>Included</v>
      </c>
      <c r="J13" s="87" t="s">
        <v>107</v>
      </c>
      <c r="K13" s="360">
        <v>6</v>
      </c>
      <c r="L13" s="360">
        <v>0</v>
      </c>
      <c r="M13" s="360">
        <v>0</v>
      </c>
      <c r="N13" s="360">
        <v>0</v>
      </c>
      <c r="O13" s="361">
        <f t="shared" si="1"/>
        <v>6</v>
      </c>
      <c r="P13" s="360">
        <v>0</v>
      </c>
      <c r="Q13" s="360">
        <v>0</v>
      </c>
      <c r="R13" s="360">
        <v>0</v>
      </c>
      <c r="S13" s="360">
        <v>247</v>
      </c>
      <c r="T13" s="360">
        <v>0</v>
      </c>
      <c r="U13" s="360">
        <v>0</v>
      </c>
      <c r="V13" s="360">
        <v>0</v>
      </c>
      <c r="W13" s="360">
        <v>0</v>
      </c>
      <c r="X13" s="360">
        <v>0</v>
      </c>
      <c r="Y13" s="360">
        <v>0</v>
      </c>
      <c r="Z13" s="360">
        <v>175</v>
      </c>
      <c r="AA13" s="360">
        <v>0</v>
      </c>
      <c r="AB13" s="361">
        <f t="shared" si="39"/>
        <v>72</v>
      </c>
      <c r="AC13" s="361">
        <f t="shared" si="18"/>
        <v>247</v>
      </c>
      <c r="AD13" s="360">
        <v>0</v>
      </c>
      <c r="AE13" s="360">
        <v>0</v>
      </c>
      <c r="AF13" s="360">
        <v>0</v>
      </c>
      <c r="AG13" s="360">
        <v>9</v>
      </c>
      <c r="AH13" s="360">
        <v>0</v>
      </c>
      <c r="AI13" s="360">
        <v>0</v>
      </c>
      <c r="AJ13" s="360">
        <v>0</v>
      </c>
      <c r="AK13" s="360">
        <v>0</v>
      </c>
      <c r="AL13" s="360">
        <v>0</v>
      </c>
      <c r="AM13" s="360">
        <v>0</v>
      </c>
      <c r="AN13" s="360">
        <v>0</v>
      </c>
      <c r="AO13" s="360">
        <v>0</v>
      </c>
      <c r="AP13" s="361">
        <f t="shared" si="19"/>
        <v>9</v>
      </c>
      <c r="AQ13" s="361">
        <f t="shared" si="20"/>
        <v>9</v>
      </c>
      <c r="AR13" s="360">
        <v>0</v>
      </c>
      <c r="AS13" s="360">
        <v>0</v>
      </c>
      <c r="AT13" s="360">
        <v>0</v>
      </c>
      <c r="AU13" s="360">
        <v>311</v>
      </c>
      <c r="AV13" s="360">
        <v>0</v>
      </c>
      <c r="AW13" s="360">
        <v>0</v>
      </c>
      <c r="AX13" s="360">
        <v>0</v>
      </c>
      <c r="AY13" s="360">
        <v>0</v>
      </c>
      <c r="AZ13" s="360">
        <v>0</v>
      </c>
      <c r="BA13" s="360">
        <v>0</v>
      </c>
      <c r="BB13" s="360">
        <v>175</v>
      </c>
      <c r="BC13" s="360">
        <v>2</v>
      </c>
      <c r="BD13" s="361">
        <f t="shared" si="21"/>
        <v>134</v>
      </c>
      <c r="BE13" s="361">
        <f t="shared" si="22"/>
        <v>311</v>
      </c>
      <c r="BF13" s="361">
        <f t="shared" si="2"/>
        <v>62</v>
      </c>
      <c r="BG13" s="361">
        <f t="shared" si="2"/>
        <v>64</v>
      </c>
      <c r="BH13" s="360">
        <v>16281874</v>
      </c>
      <c r="BI13" s="360">
        <v>7566776</v>
      </c>
      <c r="BJ13" s="360">
        <v>24841732</v>
      </c>
      <c r="BK13" s="360">
        <v>17832079</v>
      </c>
      <c r="BL13" s="360">
        <v>2152911</v>
      </c>
      <c r="BM13" s="360">
        <f t="shared" si="3"/>
        <v>16281874</v>
      </c>
      <c r="BN13" s="360">
        <f t="shared" si="23"/>
        <v>52353.29260450161</v>
      </c>
      <c r="BO13" s="360">
        <f t="shared" si="4"/>
        <v>7566776</v>
      </c>
      <c r="BP13" s="360">
        <f t="shared" si="24"/>
        <v>144.53295339344845</v>
      </c>
      <c r="BQ13" s="360">
        <f t="shared" si="5"/>
        <v>9</v>
      </c>
      <c r="BR13" s="360">
        <f t="shared" si="25"/>
        <v>4.1826256609036525</v>
      </c>
      <c r="BS13" s="360">
        <f t="shared" si="6"/>
        <v>72</v>
      </c>
      <c r="BT13" s="360">
        <f t="shared" si="7"/>
        <v>9</v>
      </c>
      <c r="BU13" s="360">
        <f t="shared" si="8"/>
        <v>134</v>
      </c>
      <c r="BV13" s="360">
        <f t="shared" si="9"/>
        <v>62</v>
      </c>
      <c r="BW13" s="360">
        <f t="shared" si="10"/>
        <v>16281874</v>
      </c>
      <c r="BX13" s="360">
        <f t="shared" si="11"/>
        <v>7566776.000000001</v>
      </c>
      <c r="BY13" s="360">
        <f t="shared" si="12"/>
        <v>144.53295339344845</v>
      </c>
      <c r="BZ13" s="360">
        <f t="shared" si="13"/>
        <v>4.1826256609036525</v>
      </c>
      <c r="CA13" s="360">
        <f>SUMIF(NPR!A:A,A13,NPR!AQ:AQ)</f>
        <v>680919.0987900337</v>
      </c>
      <c r="CB13" s="360">
        <f>SUMIF(NPR!A:A,A13,NPR!AR:AR)</f>
        <v>0</v>
      </c>
      <c r="CC13" s="360">
        <f t="shared" si="26"/>
        <v>9</v>
      </c>
      <c r="CD13" s="360">
        <f t="shared" si="27"/>
        <v>134</v>
      </c>
      <c r="CE13" s="362">
        <f t="shared" si="28"/>
        <v>0.06716417910447761</v>
      </c>
      <c r="CF13" s="363">
        <v>77557</v>
      </c>
      <c r="CG13" s="363">
        <v>502812.25499999523</v>
      </c>
      <c r="CH13" s="363">
        <f t="shared" si="29"/>
        <v>3243.486747585606</v>
      </c>
      <c r="CI13" s="363">
        <f t="shared" si="30"/>
        <v>0</v>
      </c>
      <c r="CJ13" s="362">
        <f t="shared" si="31"/>
        <v>0.0001029665816238974</v>
      </c>
      <c r="CK13" s="362">
        <f t="shared" si="32"/>
        <v>0.00015333159282890442</v>
      </c>
      <c r="CL13" s="362">
        <f t="shared" si="33"/>
        <v>0.0021145613195225643</v>
      </c>
      <c r="CM13" s="362">
        <f t="shared" si="34"/>
        <v>1.7856034161310848E-05</v>
      </c>
      <c r="CN13" s="362" t="e">
        <f t="shared" si="35"/>
        <v>#DIV/0!</v>
      </c>
      <c r="CO13" s="359" t="s">
        <v>139</v>
      </c>
      <c r="CP13" s="360">
        <v>27</v>
      </c>
      <c r="CQ13" s="360"/>
      <c r="CR13" s="360"/>
      <c r="CS13" s="360"/>
      <c r="CT13" s="361">
        <f t="shared" si="14"/>
        <v>27</v>
      </c>
      <c r="CU13" s="360">
        <v>5</v>
      </c>
      <c r="CV13" s="360"/>
      <c r="CW13" s="360"/>
      <c r="CX13" s="360"/>
      <c r="CY13" s="361">
        <f t="shared" si="15"/>
        <v>5</v>
      </c>
      <c r="CZ13" s="360">
        <v>54</v>
      </c>
      <c r="DA13" s="360"/>
      <c r="DB13" s="360"/>
      <c r="DC13" s="360"/>
      <c r="DD13" s="361">
        <f t="shared" si="16"/>
        <v>54</v>
      </c>
      <c r="DE13" s="360">
        <f t="shared" si="36"/>
        <v>27</v>
      </c>
      <c r="DF13" s="360">
        <f>137736+156810</f>
        <v>294546</v>
      </c>
      <c r="DG13" s="360"/>
      <c r="DH13" s="360"/>
      <c r="DI13" s="360"/>
      <c r="DJ13" s="361">
        <f t="shared" si="17"/>
        <v>294546</v>
      </c>
      <c r="DK13" s="362">
        <f t="shared" si="37"/>
        <v>0.012350636199533306</v>
      </c>
      <c r="DL13" s="360">
        <f t="shared" si="40"/>
        <v>672509.3147195639</v>
      </c>
      <c r="DM13" s="360">
        <f t="shared" si="38"/>
        <v>0</v>
      </c>
    </row>
    <row r="14" spans="1:117" ht="12.75">
      <c r="A14" s="85" t="s">
        <v>12</v>
      </c>
      <c r="B14" s="85">
        <v>1005674</v>
      </c>
      <c r="C14" s="88" t="s">
        <v>36</v>
      </c>
      <c r="D14" s="357">
        <v>41456</v>
      </c>
      <c r="E14" s="357">
        <v>41820</v>
      </c>
      <c r="F14" s="358">
        <f t="shared" si="0"/>
        <v>365</v>
      </c>
      <c r="G14" s="87" t="s">
        <v>117</v>
      </c>
      <c r="H14" s="88" t="s">
        <v>55</v>
      </c>
      <c r="I14" s="359" t="str">
        <f>VLOOKUP(H14,'Parameters and Analysis'!$A$29:$B$36,2,FALSE)</f>
        <v>Included</v>
      </c>
      <c r="J14" s="87" t="s">
        <v>106</v>
      </c>
      <c r="K14" s="360">
        <v>11</v>
      </c>
      <c r="L14" s="360">
        <v>0</v>
      </c>
      <c r="M14" s="360">
        <v>0</v>
      </c>
      <c r="N14" s="360">
        <v>0</v>
      </c>
      <c r="O14" s="361">
        <f t="shared" si="1"/>
        <v>11</v>
      </c>
      <c r="P14" s="360">
        <v>0</v>
      </c>
      <c r="Q14" s="360">
        <v>0</v>
      </c>
      <c r="R14" s="360">
        <v>0</v>
      </c>
      <c r="S14" s="360">
        <v>766</v>
      </c>
      <c r="T14" s="360">
        <v>0</v>
      </c>
      <c r="U14" s="360">
        <v>0</v>
      </c>
      <c r="V14" s="360">
        <v>0</v>
      </c>
      <c r="W14" s="360">
        <v>0</v>
      </c>
      <c r="X14" s="360">
        <v>0</v>
      </c>
      <c r="Y14" s="360">
        <v>0</v>
      </c>
      <c r="Z14" s="360">
        <v>446</v>
      </c>
      <c r="AA14" s="360">
        <v>0</v>
      </c>
      <c r="AB14" s="361">
        <f t="shared" si="39"/>
        <v>320</v>
      </c>
      <c r="AC14" s="361">
        <f t="shared" si="18"/>
        <v>766</v>
      </c>
      <c r="AD14" s="360">
        <v>0</v>
      </c>
      <c r="AE14" s="360">
        <v>0</v>
      </c>
      <c r="AF14" s="360">
        <v>0</v>
      </c>
      <c r="AG14" s="360">
        <v>57</v>
      </c>
      <c r="AH14" s="360">
        <v>0</v>
      </c>
      <c r="AI14" s="360">
        <v>0</v>
      </c>
      <c r="AJ14" s="360">
        <v>0</v>
      </c>
      <c r="AK14" s="360">
        <v>0</v>
      </c>
      <c r="AL14" s="360">
        <v>0</v>
      </c>
      <c r="AM14" s="360">
        <v>0</v>
      </c>
      <c r="AN14" s="360">
        <v>0</v>
      </c>
      <c r="AO14" s="360">
        <v>0</v>
      </c>
      <c r="AP14" s="361">
        <f t="shared" si="19"/>
        <v>57</v>
      </c>
      <c r="AQ14" s="361">
        <f t="shared" si="20"/>
        <v>57</v>
      </c>
      <c r="AR14" s="360">
        <v>0</v>
      </c>
      <c r="AS14" s="360">
        <v>0</v>
      </c>
      <c r="AT14" s="360">
        <v>0</v>
      </c>
      <c r="AU14" s="360">
        <v>1450</v>
      </c>
      <c r="AV14" s="360">
        <v>0</v>
      </c>
      <c r="AW14" s="360">
        <v>0</v>
      </c>
      <c r="AX14" s="360">
        <v>0</v>
      </c>
      <c r="AY14" s="360">
        <v>0</v>
      </c>
      <c r="AZ14" s="360">
        <v>0</v>
      </c>
      <c r="BA14" s="360">
        <v>0</v>
      </c>
      <c r="BB14" s="360">
        <v>446</v>
      </c>
      <c r="BC14" s="360">
        <v>66</v>
      </c>
      <c r="BD14" s="361">
        <f t="shared" si="21"/>
        <v>938</v>
      </c>
      <c r="BE14" s="361">
        <f t="shared" si="22"/>
        <v>1450</v>
      </c>
      <c r="BF14" s="361">
        <f t="shared" si="2"/>
        <v>618</v>
      </c>
      <c r="BG14" s="361">
        <f t="shared" si="2"/>
        <v>684</v>
      </c>
      <c r="BH14" s="360">
        <v>8439693</v>
      </c>
      <c r="BI14" s="360">
        <v>11642902</v>
      </c>
      <c r="BJ14" s="360">
        <v>23148693</v>
      </c>
      <c r="BK14" s="360">
        <v>22071941</v>
      </c>
      <c r="BL14" s="360">
        <v>-5283038</v>
      </c>
      <c r="BM14" s="360">
        <f t="shared" si="3"/>
        <v>8439693</v>
      </c>
      <c r="BN14" s="360">
        <f t="shared" si="23"/>
        <v>5820.477931034483</v>
      </c>
      <c r="BO14" s="360">
        <f t="shared" si="4"/>
        <v>11642902</v>
      </c>
      <c r="BP14" s="360">
        <f t="shared" si="24"/>
        <v>2000.3343605033974</v>
      </c>
      <c r="BQ14" s="360">
        <f t="shared" si="5"/>
        <v>57</v>
      </c>
      <c r="BR14" s="360">
        <f t="shared" si="25"/>
        <v>78.63383348185769</v>
      </c>
      <c r="BS14" s="360">
        <f t="shared" si="6"/>
        <v>320</v>
      </c>
      <c r="BT14" s="360">
        <f t="shared" si="7"/>
        <v>57</v>
      </c>
      <c r="BU14" s="360">
        <f t="shared" si="8"/>
        <v>938</v>
      </c>
      <c r="BV14" s="360">
        <f t="shared" si="9"/>
        <v>618</v>
      </c>
      <c r="BW14" s="360">
        <f t="shared" si="10"/>
        <v>8439693</v>
      </c>
      <c r="BX14" s="360">
        <f t="shared" si="11"/>
        <v>11642902</v>
      </c>
      <c r="BY14" s="360">
        <f t="shared" si="12"/>
        <v>2000.3343605033974</v>
      </c>
      <c r="BZ14" s="360">
        <f t="shared" si="13"/>
        <v>78.63383348185769</v>
      </c>
      <c r="CA14" s="360">
        <f>SUMIF(NPR!A:A,A14,NPR!AQ:AQ)</f>
        <v>2003189.2260594873</v>
      </c>
      <c r="CB14" s="360">
        <f>SUMIF(NPR!A:A,A14,NPR!AR:AR)</f>
        <v>0</v>
      </c>
      <c r="CC14" s="360">
        <f t="shared" si="26"/>
        <v>57</v>
      </c>
      <c r="CD14" s="360">
        <f t="shared" si="27"/>
        <v>938</v>
      </c>
      <c r="CE14" s="362">
        <f t="shared" si="28"/>
        <v>0.060767590618336885</v>
      </c>
      <c r="CF14" s="363">
        <v>270544.42166666687</v>
      </c>
      <c r="CG14" s="363">
        <v>817417.4133333266</v>
      </c>
      <c r="CH14" s="363">
        <f t="shared" si="29"/>
        <v>64214.619021469385</v>
      </c>
      <c r="CI14" s="363">
        <f t="shared" si="30"/>
        <v>0</v>
      </c>
      <c r="CJ14" s="362">
        <f t="shared" si="31"/>
        <v>0.0006521216836180169</v>
      </c>
      <c r="CK14" s="362">
        <f t="shared" si="32"/>
        <v>0.0005348712186536971</v>
      </c>
      <c r="CL14" s="362">
        <f t="shared" si="33"/>
        <v>0.003437623540299066</v>
      </c>
      <c r="CM14" s="362">
        <f t="shared" si="34"/>
        <v>0.0003535141408413157</v>
      </c>
      <c r="CN14" s="362" t="e">
        <f t="shared" si="35"/>
        <v>#DIV/0!</v>
      </c>
      <c r="CO14" s="359" t="s">
        <v>139</v>
      </c>
      <c r="CP14" s="360">
        <v>99</v>
      </c>
      <c r="CQ14" s="360"/>
      <c r="CR14" s="360"/>
      <c r="CS14" s="360"/>
      <c r="CT14" s="361">
        <f t="shared" si="14"/>
        <v>99</v>
      </c>
      <c r="CU14" s="360">
        <v>13</v>
      </c>
      <c r="CV14" s="360"/>
      <c r="CW14" s="360"/>
      <c r="CX14" s="360"/>
      <c r="CY14" s="361">
        <f t="shared" si="15"/>
        <v>13</v>
      </c>
      <c r="CZ14" s="360">
        <v>289</v>
      </c>
      <c r="DA14" s="360"/>
      <c r="DB14" s="360"/>
      <c r="DC14" s="360"/>
      <c r="DD14" s="361">
        <f t="shared" si="16"/>
        <v>289</v>
      </c>
      <c r="DE14" s="360">
        <f t="shared" si="36"/>
        <v>190</v>
      </c>
      <c r="DF14" s="360">
        <f>547333+439581</f>
        <v>986914</v>
      </c>
      <c r="DG14" s="360"/>
      <c r="DH14" s="360"/>
      <c r="DI14" s="360"/>
      <c r="DJ14" s="361">
        <f t="shared" si="17"/>
        <v>986914</v>
      </c>
      <c r="DK14" s="362">
        <f t="shared" si="37"/>
        <v>0.04914275271696711</v>
      </c>
      <c r="DL14" s="360">
        <f t="shared" si="40"/>
        <v>1904746.9932779532</v>
      </c>
      <c r="DM14" s="360">
        <f t="shared" si="38"/>
        <v>0</v>
      </c>
    </row>
    <row r="15" spans="1:117" ht="12.75">
      <c r="A15" s="85" t="s">
        <v>9</v>
      </c>
      <c r="B15" s="86">
        <v>1005609</v>
      </c>
      <c r="C15" s="87" t="s">
        <v>34</v>
      </c>
      <c r="D15" s="357">
        <v>41456</v>
      </c>
      <c r="E15" s="357">
        <v>41820</v>
      </c>
      <c r="F15" s="358">
        <f t="shared" si="0"/>
        <v>365</v>
      </c>
      <c r="G15" s="87" t="s">
        <v>117</v>
      </c>
      <c r="H15" s="88" t="s">
        <v>55</v>
      </c>
      <c r="I15" s="359" t="str">
        <f>VLOOKUP(H15,'Parameters and Analysis'!$A$29:$B$36,2,FALSE)</f>
        <v>Included</v>
      </c>
      <c r="J15" s="87" t="s">
        <v>108</v>
      </c>
      <c r="K15" s="360">
        <v>12</v>
      </c>
      <c r="L15" s="360">
        <v>0</v>
      </c>
      <c r="M15" s="360">
        <v>0</v>
      </c>
      <c r="N15" s="360">
        <v>0</v>
      </c>
      <c r="O15" s="361">
        <f t="shared" si="1"/>
        <v>12</v>
      </c>
      <c r="P15" s="360">
        <v>0</v>
      </c>
      <c r="Q15" s="360">
        <v>0</v>
      </c>
      <c r="R15" s="360">
        <v>0</v>
      </c>
      <c r="S15" s="360">
        <v>1481</v>
      </c>
      <c r="T15" s="360">
        <v>0</v>
      </c>
      <c r="U15" s="360">
        <v>0</v>
      </c>
      <c r="V15" s="360">
        <v>0</v>
      </c>
      <c r="W15" s="360">
        <v>0</v>
      </c>
      <c r="X15" s="360">
        <v>0</v>
      </c>
      <c r="Y15" s="360">
        <v>0</v>
      </c>
      <c r="Z15" s="360">
        <v>1282</v>
      </c>
      <c r="AA15" s="360">
        <v>0</v>
      </c>
      <c r="AB15" s="361">
        <f t="shared" si="39"/>
        <v>199</v>
      </c>
      <c r="AC15" s="361">
        <f t="shared" si="18"/>
        <v>1481</v>
      </c>
      <c r="AD15" s="360">
        <v>0</v>
      </c>
      <c r="AE15" s="360">
        <v>0</v>
      </c>
      <c r="AF15" s="360">
        <v>0</v>
      </c>
      <c r="AG15" s="360">
        <v>29</v>
      </c>
      <c r="AH15" s="360">
        <v>0</v>
      </c>
      <c r="AI15" s="360">
        <v>0</v>
      </c>
      <c r="AJ15" s="360">
        <v>0</v>
      </c>
      <c r="AK15" s="360">
        <v>0</v>
      </c>
      <c r="AL15" s="360">
        <v>0</v>
      </c>
      <c r="AM15" s="360">
        <v>0</v>
      </c>
      <c r="AN15" s="360">
        <v>0</v>
      </c>
      <c r="AO15" s="360">
        <v>0</v>
      </c>
      <c r="AP15" s="361">
        <f t="shared" si="19"/>
        <v>29</v>
      </c>
      <c r="AQ15" s="361">
        <f t="shared" si="20"/>
        <v>29</v>
      </c>
      <c r="AR15" s="360">
        <v>0</v>
      </c>
      <c r="AS15" s="360">
        <v>0</v>
      </c>
      <c r="AT15" s="360">
        <v>0</v>
      </c>
      <c r="AU15" s="360">
        <v>2307</v>
      </c>
      <c r="AV15" s="360">
        <v>0</v>
      </c>
      <c r="AW15" s="360">
        <v>0</v>
      </c>
      <c r="AX15" s="360">
        <v>0</v>
      </c>
      <c r="AY15" s="360">
        <v>0</v>
      </c>
      <c r="AZ15" s="360">
        <v>0</v>
      </c>
      <c r="BA15" s="360">
        <v>0</v>
      </c>
      <c r="BB15" s="360">
        <v>1282</v>
      </c>
      <c r="BC15" s="360">
        <v>695</v>
      </c>
      <c r="BD15" s="361">
        <f t="shared" si="21"/>
        <v>330</v>
      </c>
      <c r="BE15" s="361">
        <f t="shared" si="22"/>
        <v>2307</v>
      </c>
      <c r="BF15" s="361">
        <f t="shared" si="2"/>
        <v>131</v>
      </c>
      <c r="BG15" s="361">
        <f t="shared" si="2"/>
        <v>826</v>
      </c>
      <c r="BH15" s="360">
        <v>7418876</v>
      </c>
      <c r="BI15" s="360">
        <v>5972135</v>
      </c>
      <c r="BJ15" s="360">
        <v>15380710</v>
      </c>
      <c r="BK15" s="360">
        <v>11867846</v>
      </c>
      <c r="BL15" s="360">
        <v>-2164657</v>
      </c>
      <c r="BM15" s="360">
        <f t="shared" si="3"/>
        <v>7418876</v>
      </c>
      <c r="BN15" s="360">
        <f t="shared" si="23"/>
        <v>3215.811009969658</v>
      </c>
      <c r="BO15" s="360">
        <f t="shared" si="4"/>
        <v>5972135</v>
      </c>
      <c r="BP15" s="360">
        <f t="shared" si="24"/>
        <v>1857.1162862137066</v>
      </c>
      <c r="BQ15" s="360">
        <f t="shared" si="5"/>
        <v>29</v>
      </c>
      <c r="BR15" s="360">
        <f t="shared" si="25"/>
        <v>23.34476475951343</v>
      </c>
      <c r="BS15" s="360">
        <f t="shared" si="6"/>
        <v>199</v>
      </c>
      <c r="BT15" s="360">
        <f t="shared" si="7"/>
        <v>29.000000000000004</v>
      </c>
      <c r="BU15" s="360">
        <f t="shared" si="8"/>
        <v>330</v>
      </c>
      <c r="BV15" s="360">
        <f t="shared" si="9"/>
        <v>131</v>
      </c>
      <c r="BW15" s="360">
        <f t="shared" si="10"/>
        <v>7418876</v>
      </c>
      <c r="BX15" s="360">
        <f t="shared" si="11"/>
        <v>5972135</v>
      </c>
      <c r="BY15" s="360">
        <f t="shared" si="12"/>
        <v>1857.1162862137064</v>
      </c>
      <c r="BZ15" s="360">
        <f t="shared" si="13"/>
        <v>23.34476475951343</v>
      </c>
      <c r="CA15" s="360">
        <f>SUMIF(NPR!A:A,A15,NPR!AQ:AQ)</f>
        <v>461182.1923437177</v>
      </c>
      <c r="CB15" s="360">
        <f>SUMIF(NPR!A:A,A15,NPR!AR:AR)</f>
        <v>0</v>
      </c>
      <c r="CC15" s="360">
        <f t="shared" si="26"/>
        <v>29.000000000000004</v>
      </c>
      <c r="CD15" s="360">
        <f t="shared" si="27"/>
        <v>330</v>
      </c>
      <c r="CE15" s="362">
        <f t="shared" si="28"/>
        <v>0.08787878787878789</v>
      </c>
      <c r="CF15" s="363">
        <v>6908.620000001043</v>
      </c>
      <c r="CG15" s="363">
        <v>621948.151666671</v>
      </c>
      <c r="CH15" s="363">
        <f t="shared" si="29"/>
        <v>429.4629695482356</v>
      </c>
      <c r="CI15" s="363">
        <f t="shared" si="30"/>
        <v>0</v>
      </c>
      <c r="CJ15" s="362">
        <f t="shared" si="31"/>
        <v>0.00033178120745478053</v>
      </c>
      <c r="CK15" s="362">
        <f t="shared" si="32"/>
        <v>1.3658466790228934E-05</v>
      </c>
      <c r="CL15" s="362">
        <f t="shared" si="33"/>
        <v>0.0026155836322304996</v>
      </c>
      <c r="CM15" s="362">
        <f t="shared" si="34"/>
        <v>2.3642783374957816E-06</v>
      </c>
      <c r="CN15" s="362" t="e">
        <f t="shared" si="35"/>
        <v>#DIV/0!</v>
      </c>
      <c r="CO15" s="359" t="s">
        <v>139</v>
      </c>
      <c r="CP15" s="360">
        <v>70</v>
      </c>
      <c r="CQ15" s="360"/>
      <c r="CR15" s="360"/>
      <c r="CS15" s="360"/>
      <c r="CT15" s="361">
        <f t="shared" si="14"/>
        <v>70</v>
      </c>
      <c r="CU15" s="360">
        <v>16</v>
      </c>
      <c r="CV15" s="360"/>
      <c r="CW15" s="360"/>
      <c r="CX15" s="360"/>
      <c r="CY15" s="361">
        <f t="shared" si="15"/>
        <v>16</v>
      </c>
      <c r="CZ15" s="360">
        <v>110</v>
      </c>
      <c r="DA15" s="360"/>
      <c r="DB15" s="360"/>
      <c r="DC15" s="360"/>
      <c r="DD15" s="361">
        <f t="shared" si="16"/>
        <v>110</v>
      </c>
      <c r="DE15" s="360">
        <f t="shared" si="36"/>
        <v>40</v>
      </c>
      <c r="DF15" s="360">
        <f>294797+270270</f>
        <v>565067</v>
      </c>
      <c r="DG15" s="360"/>
      <c r="DH15" s="360"/>
      <c r="DI15" s="360"/>
      <c r="DJ15" s="361">
        <f t="shared" si="17"/>
        <v>565067</v>
      </c>
      <c r="DK15" s="362">
        <f t="shared" si="37"/>
        <v>0.042197486059865084</v>
      </c>
      <c r="DL15" s="360">
        <f t="shared" si="40"/>
        <v>441721.46321123565</v>
      </c>
      <c r="DM15" s="360">
        <f t="shared" si="38"/>
        <v>0</v>
      </c>
    </row>
    <row r="16" spans="1:117" ht="12.75">
      <c r="A16" s="85" t="s">
        <v>17</v>
      </c>
      <c r="B16" s="85">
        <v>1005584</v>
      </c>
      <c r="C16" s="87" t="s">
        <v>41</v>
      </c>
      <c r="D16" s="357">
        <v>41456</v>
      </c>
      <c r="E16" s="357">
        <v>41820</v>
      </c>
      <c r="F16" s="358">
        <f t="shared" si="0"/>
        <v>365</v>
      </c>
      <c r="G16" s="87" t="s">
        <v>117</v>
      </c>
      <c r="H16" s="88" t="s">
        <v>55</v>
      </c>
      <c r="I16" s="359" t="str">
        <f>VLOOKUP(H16,'Parameters and Analysis'!$A$29:$B$36,2,FALSE)</f>
        <v>Included</v>
      </c>
      <c r="J16" s="87" t="s">
        <v>108</v>
      </c>
      <c r="K16" s="360">
        <v>8</v>
      </c>
      <c r="L16" s="360">
        <v>0</v>
      </c>
      <c r="M16" s="360">
        <v>0</v>
      </c>
      <c r="N16" s="360">
        <v>0</v>
      </c>
      <c r="O16" s="361">
        <f t="shared" si="1"/>
        <v>8</v>
      </c>
      <c r="P16" s="360">
        <v>0</v>
      </c>
      <c r="Q16" s="360">
        <v>0</v>
      </c>
      <c r="R16" s="360">
        <v>0</v>
      </c>
      <c r="S16" s="360">
        <v>617</v>
      </c>
      <c r="T16" s="360">
        <v>0</v>
      </c>
      <c r="U16" s="360">
        <v>0</v>
      </c>
      <c r="V16" s="360">
        <v>0</v>
      </c>
      <c r="W16" s="360">
        <v>0</v>
      </c>
      <c r="X16" s="360">
        <v>0</v>
      </c>
      <c r="Y16" s="360">
        <v>0</v>
      </c>
      <c r="Z16" s="360">
        <v>419</v>
      </c>
      <c r="AA16" s="360">
        <v>0</v>
      </c>
      <c r="AB16" s="361">
        <f t="shared" si="39"/>
        <v>198</v>
      </c>
      <c r="AC16" s="361">
        <f t="shared" si="18"/>
        <v>617</v>
      </c>
      <c r="AD16" s="360">
        <v>0</v>
      </c>
      <c r="AE16" s="360">
        <v>0</v>
      </c>
      <c r="AF16" s="360">
        <v>0</v>
      </c>
      <c r="AG16" s="360">
        <v>15</v>
      </c>
      <c r="AH16" s="360">
        <v>0</v>
      </c>
      <c r="AI16" s="360">
        <v>0</v>
      </c>
      <c r="AJ16" s="360">
        <v>0</v>
      </c>
      <c r="AK16" s="360">
        <v>0</v>
      </c>
      <c r="AL16" s="360">
        <v>0</v>
      </c>
      <c r="AM16" s="360">
        <v>0</v>
      </c>
      <c r="AN16" s="360">
        <v>0</v>
      </c>
      <c r="AO16" s="360">
        <v>0</v>
      </c>
      <c r="AP16" s="361">
        <f t="shared" si="19"/>
        <v>15</v>
      </c>
      <c r="AQ16" s="361">
        <f t="shared" si="20"/>
        <v>15</v>
      </c>
      <c r="AR16" s="360">
        <v>0</v>
      </c>
      <c r="AS16" s="360">
        <v>0</v>
      </c>
      <c r="AT16" s="360">
        <v>0</v>
      </c>
      <c r="AU16" s="360">
        <v>1265</v>
      </c>
      <c r="AV16" s="360">
        <v>0</v>
      </c>
      <c r="AW16" s="360">
        <v>0</v>
      </c>
      <c r="AX16" s="360">
        <v>0</v>
      </c>
      <c r="AY16" s="360">
        <v>0</v>
      </c>
      <c r="AZ16" s="360">
        <v>0</v>
      </c>
      <c r="BA16" s="360">
        <v>0</v>
      </c>
      <c r="BB16" s="360">
        <v>419</v>
      </c>
      <c r="BC16" s="360">
        <v>436</v>
      </c>
      <c r="BD16" s="361">
        <f t="shared" si="21"/>
        <v>410</v>
      </c>
      <c r="BE16" s="361">
        <f t="shared" si="22"/>
        <v>1265</v>
      </c>
      <c r="BF16" s="361">
        <f t="shared" si="2"/>
        <v>212</v>
      </c>
      <c r="BG16" s="361">
        <f t="shared" si="2"/>
        <v>648</v>
      </c>
      <c r="BH16" s="360">
        <v>5325765</v>
      </c>
      <c r="BI16" s="360">
        <v>5282459</v>
      </c>
      <c r="BJ16" s="360">
        <v>10976944</v>
      </c>
      <c r="BK16" s="360">
        <v>10534630</v>
      </c>
      <c r="BL16" s="360">
        <v>-1245719</v>
      </c>
      <c r="BM16" s="360">
        <f t="shared" si="3"/>
        <v>5325765</v>
      </c>
      <c r="BN16" s="360">
        <f t="shared" si="23"/>
        <v>4210.090909090909</v>
      </c>
      <c r="BO16" s="360">
        <f t="shared" si="4"/>
        <v>5282459</v>
      </c>
      <c r="BP16" s="360">
        <f t="shared" si="24"/>
        <v>1254.7137613094083</v>
      </c>
      <c r="BQ16" s="360">
        <f t="shared" si="5"/>
        <v>15</v>
      </c>
      <c r="BR16" s="360">
        <f t="shared" si="25"/>
        <v>14.878028790230136</v>
      </c>
      <c r="BS16" s="360">
        <f t="shared" si="6"/>
        <v>198</v>
      </c>
      <c r="BT16" s="360">
        <f t="shared" si="7"/>
        <v>15</v>
      </c>
      <c r="BU16" s="360">
        <f t="shared" si="8"/>
        <v>410</v>
      </c>
      <c r="BV16" s="360">
        <f t="shared" si="9"/>
        <v>211.99999999999997</v>
      </c>
      <c r="BW16" s="360">
        <f t="shared" si="10"/>
        <v>5325765</v>
      </c>
      <c r="BX16" s="360">
        <f t="shared" si="11"/>
        <v>5282459</v>
      </c>
      <c r="BY16" s="360">
        <f t="shared" si="12"/>
        <v>1254.7137613094083</v>
      </c>
      <c r="BZ16" s="360">
        <f t="shared" si="13"/>
        <v>14.878028790230136</v>
      </c>
      <c r="CA16" s="360">
        <f>SUMIF(NPR!A:A,A16,NPR!AQ:AQ)</f>
        <v>586515.9534221863</v>
      </c>
      <c r="CB16" s="360">
        <f>SUMIF(NPR!A:A,A16,NPR!AR:AR)</f>
        <v>0</v>
      </c>
      <c r="CC16" s="360">
        <f t="shared" si="26"/>
        <v>15</v>
      </c>
      <c r="CD16" s="360">
        <f t="shared" si="27"/>
        <v>410</v>
      </c>
      <c r="CE16" s="362">
        <f t="shared" si="28"/>
        <v>0.036585365853658534</v>
      </c>
      <c r="CF16" s="363">
        <v>30341.421666666865</v>
      </c>
      <c r="CG16" s="363">
        <v>1514265.3083333373</v>
      </c>
      <c r="CH16" s="363">
        <f t="shared" si="29"/>
        <v>3341.440686363311</v>
      </c>
      <c r="CI16" s="363">
        <f t="shared" si="30"/>
        <v>0</v>
      </c>
      <c r="CJ16" s="362">
        <f t="shared" si="31"/>
        <v>0.00017161096937316233</v>
      </c>
      <c r="CK16" s="362">
        <f t="shared" si="32"/>
        <v>5.998553983319961E-05</v>
      </c>
      <c r="CL16" s="362">
        <f t="shared" si="33"/>
        <v>0.0063681957165037965</v>
      </c>
      <c r="CM16" s="362">
        <f t="shared" si="34"/>
        <v>1.839528991080686E-05</v>
      </c>
      <c r="CN16" s="362" t="e">
        <f t="shared" si="35"/>
        <v>#DIV/0!</v>
      </c>
      <c r="CO16" s="359" t="s">
        <v>139</v>
      </c>
      <c r="CP16" s="360">
        <v>49</v>
      </c>
      <c r="CQ16" s="360"/>
      <c r="CR16" s="360"/>
      <c r="CS16" s="360"/>
      <c r="CT16" s="361">
        <f t="shared" si="14"/>
        <v>49</v>
      </c>
      <c r="CU16" s="360">
        <v>22</v>
      </c>
      <c r="CV16" s="360"/>
      <c r="CW16" s="360"/>
      <c r="CX16" s="360"/>
      <c r="CY16" s="361">
        <f t="shared" si="15"/>
        <v>22</v>
      </c>
      <c r="CZ16" s="360">
        <v>128</v>
      </c>
      <c r="DA16" s="360"/>
      <c r="DB16" s="360"/>
      <c r="DC16" s="360"/>
      <c r="DD16" s="361">
        <f t="shared" si="16"/>
        <v>128</v>
      </c>
      <c r="DE16" s="360">
        <f t="shared" si="36"/>
        <v>79</v>
      </c>
      <c r="DF16" s="360">
        <f>242721+203404</f>
        <v>446125</v>
      </c>
      <c r="DG16" s="360"/>
      <c r="DH16" s="360"/>
      <c r="DI16" s="360"/>
      <c r="DJ16" s="361">
        <f t="shared" si="17"/>
        <v>446125</v>
      </c>
      <c r="DK16" s="362">
        <f t="shared" si="37"/>
        <v>0.042054636101198466</v>
      </c>
      <c r="DL16" s="360">
        <f t="shared" si="40"/>
        <v>561850.2384334689</v>
      </c>
      <c r="DM16" s="360">
        <f t="shared" si="38"/>
        <v>0</v>
      </c>
    </row>
    <row r="17" spans="1:117" ht="12.75">
      <c r="A17" s="85" t="s">
        <v>11</v>
      </c>
      <c r="B17" s="85">
        <v>1005622</v>
      </c>
      <c r="C17" s="364" t="s">
        <v>118</v>
      </c>
      <c r="D17" s="357">
        <v>41640</v>
      </c>
      <c r="E17" s="357">
        <v>42004</v>
      </c>
      <c r="F17" s="358">
        <f t="shared" si="0"/>
        <v>365</v>
      </c>
      <c r="G17" s="365" t="s">
        <v>116</v>
      </c>
      <c r="H17" s="88" t="s">
        <v>55</v>
      </c>
      <c r="I17" s="359" t="str">
        <f>VLOOKUP(H17,'Parameters and Analysis'!$A$29:$B$36,2,FALSE)</f>
        <v>Included</v>
      </c>
      <c r="J17" s="87" t="s">
        <v>107</v>
      </c>
      <c r="K17" s="360">
        <v>25</v>
      </c>
      <c r="L17" s="360">
        <v>0</v>
      </c>
      <c r="M17" s="360">
        <v>0</v>
      </c>
      <c r="N17" s="360">
        <v>0</v>
      </c>
      <c r="O17" s="361">
        <f t="shared" si="1"/>
        <v>25</v>
      </c>
      <c r="P17" s="360">
        <v>0</v>
      </c>
      <c r="Q17" s="360">
        <v>0</v>
      </c>
      <c r="R17" s="360">
        <v>0</v>
      </c>
      <c r="S17" s="360">
        <v>997</v>
      </c>
      <c r="T17" s="360">
        <v>0</v>
      </c>
      <c r="U17" s="360">
        <v>0</v>
      </c>
      <c r="V17" s="360">
        <v>0</v>
      </c>
      <c r="W17" s="360">
        <v>0</v>
      </c>
      <c r="X17" s="360">
        <v>0</v>
      </c>
      <c r="Y17" s="360">
        <v>0</v>
      </c>
      <c r="Z17" s="360">
        <v>438</v>
      </c>
      <c r="AA17" s="360">
        <v>0</v>
      </c>
      <c r="AB17" s="361">
        <f t="shared" si="39"/>
        <v>559</v>
      </c>
      <c r="AC17" s="361">
        <f t="shared" si="18"/>
        <v>997</v>
      </c>
      <c r="AD17" s="360">
        <v>0</v>
      </c>
      <c r="AE17" s="360">
        <v>0</v>
      </c>
      <c r="AF17" s="360">
        <v>0</v>
      </c>
      <c r="AG17" s="360">
        <v>567</v>
      </c>
      <c r="AH17" s="360">
        <v>0</v>
      </c>
      <c r="AI17" s="360">
        <v>0</v>
      </c>
      <c r="AJ17" s="360">
        <v>0</v>
      </c>
      <c r="AK17" s="360">
        <v>0</v>
      </c>
      <c r="AL17" s="360">
        <v>0</v>
      </c>
      <c r="AM17" s="360">
        <v>0</v>
      </c>
      <c r="AN17" s="360">
        <v>0</v>
      </c>
      <c r="AO17" s="360">
        <v>83</v>
      </c>
      <c r="AP17" s="361">
        <f t="shared" si="19"/>
        <v>484</v>
      </c>
      <c r="AQ17" s="361">
        <f t="shared" si="20"/>
        <v>567</v>
      </c>
      <c r="AR17" s="360">
        <v>0</v>
      </c>
      <c r="AS17" s="360">
        <v>0</v>
      </c>
      <c r="AT17" s="360">
        <v>0</v>
      </c>
      <c r="AU17" s="360">
        <v>2785</v>
      </c>
      <c r="AV17" s="360">
        <v>0</v>
      </c>
      <c r="AW17" s="360">
        <v>0</v>
      </c>
      <c r="AX17" s="360">
        <v>0</v>
      </c>
      <c r="AY17" s="360">
        <v>0</v>
      </c>
      <c r="AZ17" s="360">
        <v>0</v>
      </c>
      <c r="BA17" s="360">
        <v>0</v>
      </c>
      <c r="BB17" s="360">
        <v>577</v>
      </c>
      <c r="BC17" s="360">
        <v>114</v>
      </c>
      <c r="BD17" s="361">
        <f t="shared" si="21"/>
        <v>2094</v>
      </c>
      <c r="BE17" s="361">
        <f t="shared" si="22"/>
        <v>2785</v>
      </c>
      <c r="BF17" s="361">
        <f t="shared" si="2"/>
        <v>1535</v>
      </c>
      <c r="BG17" s="361">
        <f t="shared" si="2"/>
        <v>1788</v>
      </c>
      <c r="BH17" s="360">
        <v>24232070</v>
      </c>
      <c r="BI17" s="360">
        <v>37697274</v>
      </c>
      <c r="BJ17" s="360">
        <v>68126287</v>
      </c>
      <c r="BK17" s="360">
        <v>37443094</v>
      </c>
      <c r="BL17" s="360">
        <v>1004848</v>
      </c>
      <c r="BM17" s="360">
        <f t="shared" si="3"/>
        <v>24232070</v>
      </c>
      <c r="BN17" s="360">
        <f t="shared" si="23"/>
        <v>8700.922800718134</v>
      </c>
      <c r="BO17" s="360">
        <f t="shared" si="4"/>
        <v>37697274</v>
      </c>
      <c r="BP17" s="360">
        <f t="shared" si="24"/>
        <v>4332.56044943746</v>
      </c>
      <c r="BQ17" s="360">
        <f t="shared" si="5"/>
        <v>567</v>
      </c>
      <c r="BR17" s="360">
        <f t="shared" si="25"/>
        <v>882.0688599034255</v>
      </c>
      <c r="BS17" s="360">
        <f t="shared" si="6"/>
        <v>559</v>
      </c>
      <c r="BT17" s="360">
        <f t="shared" si="7"/>
        <v>484.00000000000006</v>
      </c>
      <c r="BU17" s="360">
        <f t="shared" si="8"/>
        <v>2094</v>
      </c>
      <c r="BV17" s="360">
        <f t="shared" si="9"/>
        <v>1535.0000000000002</v>
      </c>
      <c r="BW17" s="360">
        <f t="shared" si="10"/>
        <v>24232070</v>
      </c>
      <c r="BX17" s="360">
        <f t="shared" si="11"/>
        <v>37697274</v>
      </c>
      <c r="BY17" s="360">
        <f t="shared" si="12"/>
        <v>4332.56044943746</v>
      </c>
      <c r="BZ17" s="360">
        <f t="shared" si="13"/>
        <v>882.0688599034255</v>
      </c>
      <c r="CA17" s="360">
        <f>SUMIF(NPR!A:A,A17,NPR!AQ:AQ)</f>
        <v>5963019.30895274</v>
      </c>
      <c r="CB17" s="360">
        <f>SUMIF(NPR!A:A,A17,NPR!AR:AR)</f>
        <v>0</v>
      </c>
      <c r="CC17" s="360">
        <f t="shared" si="26"/>
        <v>484.00000000000006</v>
      </c>
      <c r="CD17" s="360">
        <f t="shared" si="27"/>
        <v>2094</v>
      </c>
      <c r="CE17" s="362">
        <f t="shared" si="28"/>
        <v>0.2311365807067813</v>
      </c>
      <c r="CF17" s="363">
        <v>4129635.184999943</v>
      </c>
      <c r="CG17" s="363">
        <v>4261783.676666677</v>
      </c>
      <c r="CH17" s="363">
        <f t="shared" si="29"/>
        <v>1016219.1817325255</v>
      </c>
      <c r="CI17" s="363">
        <f t="shared" si="30"/>
        <v>0</v>
      </c>
      <c r="CJ17" s="362">
        <f t="shared" si="31"/>
        <v>0.005537313945107372</v>
      </c>
      <c r="CK17" s="362">
        <f t="shared" si="32"/>
        <v>0.008164363509655203</v>
      </c>
      <c r="CL17" s="362">
        <f t="shared" si="33"/>
        <v>0.017922798868241784</v>
      </c>
      <c r="CM17" s="362">
        <f t="shared" si="34"/>
        <v>0.0055944869939433635</v>
      </c>
      <c r="CN17" s="362" t="e">
        <f t="shared" si="35"/>
        <v>#DIV/0!</v>
      </c>
      <c r="CO17" s="359" t="s">
        <v>139</v>
      </c>
      <c r="CP17" s="360">
        <v>136</v>
      </c>
      <c r="CQ17" s="360"/>
      <c r="CR17" s="360"/>
      <c r="CS17" s="360"/>
      <c r="CT17" s="361">
        <f t="shared" si="14"/>
        <v>136</v>
      </c>
      <c r="CU17" s="360">
        <v>105</v>
      </c>
      <c r="CV17" s="360"/>
      <c r="CW17" s="360"/>
      <c r="CX17" s="360"/>
      <c r="CY17" s="361">
        <f t="shared" si="15"/>
        <v>105</v>
      </c>
      <c r="CZ17" s="360">
        <v>646</v>
      </c>
      <c r="DA17" s="360"/>
      <c r="DB17" s="360"/>
      <c r="DC17" s="360"/>
      <c r="DD17" s="361">
        <f t="shared" si="16"/>
        <v>646</v>
      </c>
      <c r="DE17" s="360">
        <f t="shared" si="36"/>
        <v>510</v>
      </c>
      <c r="DF17" s="360">
        <f>2130689+1915255</f>
        <v>4045944</v>
      </c>
      <c r="DG17" s="360"/>
      <c r="DH17" s="360"/>
      <c r="DI17" s="360"/>
      <c r="DJ17" s="361">
        <f t="shared" si="17"/>
        <v>4045944</v>
      </c>
      <c r="DK17" s="362">
        <f t="shared" si="37"/>
        <v>0.06533161404067189</v>
      </c>
      <c r="DL17" s="360">
        <f t="shared" si="40"/>
        <v>5573445.6329431655</v>
      </c>
      <c r="DM17" s="360">
        <f t="shared" si="38"/>
        <v>0</v>
      </c>
    </row>
    <row r="18" spans="1:117" ht="12.75">
      <c r="A18" s="85" t="s">
        <v>18</v>
      </c>
      <c r="B18" s="85">
        <v>1005594</v>
      </c>
      <c r="C18" s="87" t="s">
        <v>42</v>
      </c>
      <c r="D18" s="357">
        <v>41640</v>
      </c>
      <c r="E18" s="357">
        <v>42004</v>
      </c>
      <c r="F18" s="358">
        <f t="shared" si="0"/>
        <v>365</v>
      </c>
      <c r="G18" s="87" t="s">
        <v>117</v>
      </c>
      <c r="H18" s="88" t="s">
        <v>55</v>
      </c>
      <c r="I18" s="359" t="str">
        <f>VLOOKUP(H18,'Parameters and Analysis'!$A$29:$B$36,2,FALSE)</f>
        <v>Included</v>
      </c>
      <c r="J18" s="87" t="s">
        <v>110</v>
      </c>
      <c r="K18" s="360">
        <v>13</v>
      </c>
      <c r="L18" s="360">
        <v>0</v>
      </c>
      <c r="M18" s="360">
        <v>0</v>
      </c>
      <c r="N18" s="360">
        <v>0</v>
      </c>
      <c r="O18" s="361">
        <f t="shared" si="1"/>
        <v>13</v>
      </c>
      <c r="P18" s="360">
        <v>0</v>
      </c>
      <c r="Q18" s="360">
        <v>0</v>
      </c>
      <c r="R18" s="360">
        <v>0</v>
      </c>
      <c r="S18" s="360">
        <v>318</v>
      </c>
      <c r="T18" s="360">
        <v>0</v>
      </c>
      <c r="U18" s="360">
        <v>0</v>
      </c>
      <c r="V18" s="360">
        <v>0</v>
      </c>
      <c r="W18" s="360">
        <v>0</v>
      </c>
      <c r="X18" s="360">
        <v>0</v>
      </c>
      <c r="Y18" s="360">
        <v>0</v>
      </c>
      <c r="Z18" s="360">
        <v>202</v>
      </c>
      <c r="AA18" s="360">
        <v>0</v>
      </c>
      <c r="AB18" s="361">
        <f t="shared" si="39"/>
        <v>116</v>
      </c>
      <c r="AC18" s="361">
        <f t="shared" si="18"/>
        <v>318</v>
      </c>
      <c r="AD18" s="360">
        <v>0</v>
      </c>
      <c r="AE18" s="360">
        <v>0</v>
      </c>
      <c r="AF18" s="360">
        <v>0</v>
      </c>
      <c r="AG18" s="360">
        <v>4</v>
      </c>
      <c r="AH18" s="360">
        <v>0</v>
      </c>
      <c r="AI18" s="360">
        <v>0</v>
      </c>
      <c r="AJ18" s="360">
        <v>0</v>
      </c>
      <c r="AK18" s="360">
        <v>0</v>
      </c>
      <c r="AL18" s="360">
        <v>0</v>
      </c>
      <c r="AM18" s="360">
        <v>0</v>
      </c>
      <c r="AN18" s="360">
        <v>0</v>
      </c>
      <c r="AO18" s="360">
        <v>0</v>
      </c>
      <c r="AP18" s="361">
        <f t="shared" si="19"/>
        <v>4</v>
      </c>
      <c r="AQ18" s="361">
        <f t="shared" si="20"/>
        <v>4</v>
      </c>
      <c r="AR18" s="360">
        <v>0</v>
      </c>
      <c r="AS18" s="360">
        <v>0</v>
      </c>
      <c r="AT18" s="360">
        <v>0</v>
      </c>
      <c r="AU18" s="360">
        <v>566</v>
      </c>
      <c r="AV18" s="360">
        <v>0</v>
      </c>
      <c r="AW18" s="360">
        <v>0</v>
      </c>
      <c r="AX18" s="360">
        <v>0</v>
      </c>
      <c r="AY18" s="360">
        <v>0</v>
      </c>
      <c r="AZ18" s="360">
        <v>0</v>
      </c>
      <c r="BA18" s="360">
        <v>0</v>
      </c>
      <c r="BB18" s="360">
        <v>202</v>
      </c>
      <c r="BC18" s="360">
        <v>210</v>
      </c>
      <c r="BD18" s="361">
        <f t="shared" si="21"/>
        <v>154</v>
      </c>
      <c r="BE18" s="361">
        <f t="shared" si="22"/>
        <v>566</v>
      </c>
      <c r="BF18" s="361">
        <f t="shared" si="2"/>
        <v>38</v>
      </c>
      <c r="BG18" s="361">
        <f t="shared" si="2"/>
        <v>248</v>
      </c>
      <c r="BH18" s="360">
        <v>5118604</v>
      </c>
      <c r="BI18" s="360">
        <v>2664087</v>
      </c>
      <c r="BJ18" s="360">
        <v>8707780</v>
      </c>
      <c r="BK18" s="360">
        <v>7614423</v>
      </c>
      <c r="BL18" s="360">
        <v>-3121540</v>
      </c>
      <c r="BM18" s="360">
        <f t="shared" si="3"/>
        <v>5118604</v>
      </c>
      <c r="BN18" s="360">
        <f t="shared" si="23"/>
        <v>9043.469964664311</v>
      </c>
      <c r="BO18" s="360">
        <f t="shared" si="4"/>
        <v>2664087</v>
      </c>
      <c r="BP18" s="360">
        <f t="shared" si="24"/>
        <v>294.5868135139972</v>
      </c>
      <c r="BQ18" s="360">
        <f t="shared" si="5"/>
        <v>4</v>
      </c>
      <c r="BR18" s="360">
        <f t="shared" si="25"/>
        <v>2.0818856078727714</v>
      </c>
      <c r="BS18" s="360">
        <f t="shared" si="6"/>
        <v>116.00000000000001</v>
      </c>
      <c r="BT18" s="360">
        <f t="shared" si="7"/>
        <v>4</v>
      </c>
      <c r="BU18" s="360">
        <f t="shared" si="8"/>
        <v>154</v>
      </c>
      <c r="BV18" s="360">
        <f t="shared" si="9"/>
        <v>38</v>
      </c>
      <c r="BW18" s="360">
        <f t="shared" si="10"/>
        <v>5118604</v>
      </c>
      <c r="BX18" s="360">
        <f t="shared" si="11"/>
        <v>2664087</v>
      </c>
      <c r="BY18" s="360">
        <f t="shared" si="12"/>
        <v>294.5868135139972</v>
      </c>
      <c r="BZ18" s="360">
        <f t="shared" si="13"/>
        <v>2.0818856078727714</v>
      </c>
      <c r="CA18" s="360">
        <f>SUMIF(NPR!A:A,A18,NPR!AQ:AQ)</f>
        <v>371243.7176938711</v>
      </c>
      <c r="CB18" s="360">
        <f>SUMIF(NPR!A:A,A18,NPR!AR:AR)</f>
        <v>0</v>
      </c>
      <c r="CC18" s="360">
        <f t="shared" si="26"/>
        <v>4</v>
      </c>
      <c r="CD18" s="360">
        <f t="shared" si="27"/>
        <v>154</v>
      </c>
      <c r="CE18" s="362">
        <f t="shared" si="28"/>
        <v>0.025974025974025976</v>
      </c>
      <c r="CF18" s="363">
        <v>11440</v>
      </c>
      <c r="CG18" s="363">
        <v>196420.48166666925</v>
      </c>
      <c r="CH18" s="363">
        <f t="shared" si="29"/>
        <v>829.723911132388</v>
      </c>
      <c r="CI18" s="363">
        <f t="shared" si="30"/>
        <v>0</v>
      </c>
      <c r="CJ18" s="362">
        <f t="shared" si="31"/>
        <v>4.576292516617662E-05</v>
      </c>
      <c r="CK18" s="362">
        <f t="shared" si="32"/>
        <v>2.2617087070962857E-05</v>
      </c>
      <c r="CL18" s="362">
        <f t="shared" si="33"/>
        <v>0.0008260402342308337</v>
      </c>
      <c r="CM18" s="362">
        <f t="shared" si="34"/>
        <v>4.567793752406981E-06</v>
      </c>
      <c r="CN18" s="362" t="e">
        <f t="shared" si="35"/>
        <v>#DIV/0!</v>
      </c>
      <c r="CO18" s="359" t="s">
        <v>139</v>
      </c>
      <c r="CP18" s="360">
        <v>37</v>
      </c>
      <c r="CQ18" s="360"/>
      <c r="CR18" s="360"/>
      <c r="CS18" s="360"/>
      <c r="CT18" s="361">
        <f t="shared" si="14"/>
        <v>37</v>
      </c>
      <c r="CU18" s="360">
        <v>2</v>
      </c>
      <c r="CV18" s="360"/>
      <c r="CW18" s="360"/>
      <c r="CX18" s="360"/>
      <c r="CY18" s="361">
        <f t="shared" si="15"/>
        <v>2</v>
      </c>
      <c r="CZ18" s="360">
        <v>56</v>
      </c>
      <c r="DA18" s="360"/>
      <c r="DB18" s="360"/>
      <c r="DC18" s="360"/>
      <c r="DD18" s="361">
        <f t="shared" si="16"/>
        <v>56</v>
      </c>
      <c r="DE18" s="360">
        <f t="shared" si="36"/>
        <v>19</v>
      </c>
      <c r="DF18" s="360">
        <f>207060+210477</f>
        <v>417537</v>
      </c>
      <c r="DG18" s="360"/>
      <c r="DH18" s="360"/>
      <c r="DI18" s="360"/>
      <c r="DJ18" s="361">
        <f t="shared" si="17"/>
        <v>417537</v>
      </c>
      <c r="DK18" s="362">
        <f t="shared" si="37"/>
        <v>0.05364943822130417</v>
      </c>
      <c r="DL18" s="360">
        <f t="shared" si="40"/>
        <v>351326.7007964065</v>
      </c>
      <c r="DM18" s="360">
        <f t="shared" si="38"/>
        <v>0</v>
      </c>
    </row>
    <row r="19" spans="1:117" ht="12.75">
      <c r="A19" s="85" t="s">
        <v>8</v>
      </c>
      <c r="B19" s="85">
        <v>1005563</v>
      </c>
      <c r="C19" s="87" t="s">
        <v>33</v>
      </c>
      <c r="D19" s="357">
        <v>41456</v>
      </c>
      <c r="E19" s="357">
        <v>41820</v>
      </c>
      <c r="F19" s="358">
        <f t="shared" si="0"/>
        <v>365</v>
      </c>
      <c r="G19" s="87" t="s">
        <v>117</v>
      </c>
      <c r="H19" s="88" t="s">
        <v>55</v>
      </c>
      <c r="I19" s="359" t="str">
        <f>VLOOKUP(H19,'Parameters and Analysis'!$A$29:$B$36,2,FALSE)</f>
        <v>Included</v>
      </c>
      <c r="J19" s="87" t="s">
        <v>107</v>
      </c>
      <c r="K19" s="360">
        <v>20</v>
      </c>
      <c r="L19" s="360">
        <v>0</v>
      </c>
      <c r="M19" s="360">
        <v>0</v>
      </c>
      <c r="N19" s="360">
        <v>0</v>
      </c>
      <c r="O19" s="361">
        <f t="shared" si="1"/>
        <v>20</v>
      </c>
      <c r="P19" s="360">
        <v>0</v>
      </c>
      <c r="Q19" s="360">
        <v>0</v>
      </c>
      <c r="R19" s="360">
        <v>0</v>
      </c>
      <c r="S19" s="360">
        <v>1652</v>
      </c>
      <c r="T19" s="360">
        <v>0</v>
      </c>
      <c r="U19" s="360">
        <v>0</v>
      </c>
      <c r="V19" s="360">
        <v>0</v>
      </c>
      <c r="W19" s="360">
        <v>0</v>
      </c>
      <c r="X19" s="360">
        <v>0</v>
      </c>
      <c r="Y19" s="360">
        <v>0</v>
      </c>
      <c r="Z19" s="360">
        <v>0</v>
      </c>
      <c r="AA19" s="360">
        <v>0</v>
      </c>
      <c r="AB19" s="361">
        <f t="shared" si="39"/>
        <v>1652</v>
      </c>
      <c r="AC19" s="361">
        <f t="shared" si="18"/>
        <v>1652</v>
      </c>
      <c r="AD19" s="360">
        <v>0</v>
      </c>
      <c r="AE19" s="360">
        <v>0</v>
      </c>
      <c r="AF19" s="360">
        <v>0</v>
      </c>
      <c r="AG19" s="360">
        <v>739</v>
      </c>
      <c r="AH19" s="360">
        <v>0</v>
      </c>
      <c r="AI19" s="360">
        <v>0</v>
      </c>
      <c r="AJ19" s="360">
        <v>0</v>
      </c>
      <c r="AK19" s="360">
        <v>0</v>
      </c>
      <c r="AL19" s="360">
        <v>0</v>
      </c>
      <c r="AM19" s="360">
        <v>86</v>
      </c>
      <c r="AN19" s="360">
        <v>0</v>
      </c>
      <c r="AO19" s="360">
        <v>0</v>
      </c>
      <c r="AP19" s="361">
        <f t="shared" si="19"/>
        <v>739</v>
      </c>
      <c r="AQ19" s="361">
        <f t="shared" si="20"/>
        <v>825</v>
      </c>
      <c r="AR19" s="360">
        <v>0</v>
      </c>
      <c r="AS19" s="360">
        <v>0</v>
      </c>
      <c r="AT19" s="360">
        <v>0</v>
      </c>
      <c r="AU19" s="360">
        <v>3770</v>
      </c>
      <c r="AV19" s="360">
        <v>0</v>
      </c>
      <c r="AW19" s="360">
        <v>0</v>
      </c>
      <c r="AX19" s="360">
        <v>0</v>
      </c>
      <c r="AY19" s="360">
        <v>0</v>
      </c>
      <c r="AZ19" s="360">
        <v>0</v>
      </c>
      <c r="BA19" s="360">
        <v>108</v>
      </c>
      <c r="BB19" s="360">
        <v>0</v>
      </c>
      <c r="BC19" s="360">
        <v>0</v>
      </c>
      <c r="BD19" s="361">
        <f t="shared" si="21"/>
        <v>3770</v>
      </c>
      <c r="BE19" s="361">
        <f t="shared" si="22"/>
        <v>3878</v>
      </c>
      <c r="BF19" s="361">
        <f t="shared" si="2"/>
        <v>2118</v>
      </c>
      <c r="BG19" s="361">
        <f t="shared" si="2"/>
        <v>2226</v>
      </c>
      <c r="BH19" s="360">
        <v>38391878</v>
      </c>
      <c r="BI19" s="360">
        <v>50566960</v>
      </c>
      <c r="BJ19" s="360">
        <v>103671243</v>
      </c>
      <c r="BK19" s="360">
        <v>63773820</v>
      </c>
      <c r="BL19" s="360">
        <v>-604898</v>
      </c>
      <c r="BM19" s="360">
        <f t="shared" si="3"/>
        <v>38391878</v>
      </c>
      <c r="BN19" s="360">
        <f t="shared" si="23"/>
        <v>9899.916967509025</v>
      </c>
      <c r="BO19" s="360">
        <f t="shared" si="4"/>
        <v>50566960</v>
      </c>
      <c r="BP19" s="360">
        <f t="shared" si="24"/>
        <v>5107.816577245843</v>
      </c>
      <c r="BQ19" s="360">
        <f t="shared" si="5"/>
        <v>825</v>
      </c>
      <c r="BR19" s="360">
        <f t="shared" si="25"/>
        <v>1086.6293646796858</v>
      </c>
      <c r="BS19" s="360">
        <f t="shared" si="6"/>
        <v>1651.9999999999998</v>
      </c>
      <c r="BT19" s="360">
        <f t="shared" si="7"/>
        <v>739</v>
      </c>
      <c r="BU19" s="360">
        <f t="shared" si="8"/>
        <v>3770</v>
      </c>
      <c r="BV19" s="360">
        <f t="shared" si="9"/>
        <v>2118</v>
      </c>
      <c r="BW19" s="360">
        <f t="shared" si="10"/>
        <v>38391878</v>
      </c>
      <c r="BX19" s="360">
        <f t="shared" si="11"/>
        <v>50566960</v>
      </c>
      <c r="BY19" s="360">
        <f t="shared" si="12"/>
        <v>5107.816577245843</v>
      </c>
      <c r="BZ19" s="360">
        <f t="shared" si="13"/>
        <v>1086.6293646796858</v>
      </c>
      <c r="CA19" s="360">
        <f>SUMIF(NPR!A:A,A19,NPR!AQ:AQ)</f>
        <v>13534285.256402273</v>
      </c>
      <c r="CB19" s="360">
        <f>SUMIF(NPR!A:A,A19,NPR!AR:AR)</f>
        <v>0</v>
      </c>
      <c r="CC19" s="360">
        <f t="shared" si="26"/>
        <v>739</v>
      </c>
      <c r="CD19" s="360">
        <f t="shared" si="27"/>
        <v>3770</v>
      </c>
      <c r="CE19" s="362">
        <f t="shared" si="28"/>
        <v>0.1960212201591512</v>
      </c>
      <c r="CF19" s="363">
        <v>5961393.543333352</v>
      </c>
      <c r="CG19" s="363">
        <v>8423739.336666346</v>
      </c>
      <c r="CH19" s="363">
        <f t="shared" si="29"/>
        <v>2101569.523146231</v>
      </c>
      <c r="CI19" s="363">
        <f t="shared" si="30"/>
        <v>0</v>
      </c>
      <c r="CJ19" s="362">
        <f t="shared" si="31"/>
        <v>0.008454700424451131</v>
      </c>
      <c r="CK19" s="362">
        <f t="shared" si="32"/>
        <v>0.011785782940021522</v>
      </c>
      <c r="CL19" s="362">
        <f t="shared" si="33"/>
        <v>0.03542577411335268</v>
      </c>
      <c r="CM19" s="362">
        <f t="shared" si="34"/>
        <v>0.01156955465460197</v>
      </c>
      <c r="CN19" s="362" t="e">
        <f t="shared" si="35"/>
        <v>#DIV/0!</v>
      </c>
      <c r="CO19" s="359" t="s">
        <v>139</v>
      </c>
      <c r="CP19" s="360">
        <v>390</v>
      </c>
      <c r="CQ19" s="360"/>
      <c r="CR19" s="360"/>
      <c r="CS19" s="360"/>
      <c r="CT19" s="361">
        <f t="shared" si="14"/>
        <v>390</v>
      </c>
      <c r="CU19" s="360">
        <v>235</v>
      </c>
      <c r="CV19" s="360"/>
      <c r="CW19" s="360"/>
      <c r="CX19" s="360"/>
      <c r="CY19" s="361">
        <f t="shared" si="15"/>
        <v>235</v>
      </c>
      <c r="CZ19" s="360">
        <v>1162</v>
      </c>
      <c r="DA19" s="360"/>
      <c r="DB19" s="360"/>
      <c r="DC19" s="360"/>
      <c r="DD19" s="361">
        <f t="shared" si="16"/>
        <v>1162</v>
      </c>
      <c r="DE19" s="360">
        <f t="shared" si="36"/>
        <v>772</v>
      </c>
      <c r="DF19" s="360">
        <f>3530365+461415+5882611</f>
        <v>9874391</v>
      </c>
      <c r="DG19" s="360"/>
      <c r="DH19" s="360"/>
      <c r="DI19" s="360"/>
      <c r="DJ19" s="361">
        <f t="shared" si="17"/>
        <v>9874391</v>
      </c>
      <c r="DK19" s="362">
        <f t="shared" si="37"/>
        <v>0.11099955015149816</v>
      </c>
      <c r="DL19" s="360">
        <f t="shared" si="40"/>
        <v>12031985.681319566</v>
      </c>
      <c r="DM19" s="360">
        <f t="shared" si="38"/>
        <v>0</v>
      </c>
    </row>
    <row r="20" spans="1:117" ht="12.75">
      <c r="A20" s="85" t="s">
        <v>13</v>
      </c>
      <c r="B20" s="85">
        <v>1005653</v>
      </c>
      <c r="C20" s="87" t="s">
        <v>37</v>
      </c>
      <c r="D20" s="357">
        <v>41456</v>
      </c>
      <c r="E20" s="357">
        <v>41820</v>
      </c>
      <c r="F20" s="358">
        <f t="shared" si="0"/>
        <v>365</v>
      </c>
      <c r="G20" s="87" t="s">
        <v>117</v>
      </c>
      <c r="H20" s="88" t="s">
        <v>55</v>
      </c>
      <c r="I20" s="359" t="str">
        <f>VLOOKUP(H20,'Parameters and Analysis'!$A$29:$B$36,2,FALSE)</f>
        <v>Included</v>
      </c>
      <c r="J20" s="87" t="s">
        <v>108</v>
      </c>
      <c r="K20" s="360">
        <v>21</v>
      </c>
      <c r="L20" s="360">
        <v>0</v>
      </c>
      <c r="M20" s="360">
        <v>0</v>
      </c>
      <c r="N20" s="360">
        <v>0</v>
      </c>
      <c r="O20" s="361">
        <f t="shared" si="1"/>
        <v>21</v>
      </c>
      <c r="P20" s="360">
        <v>0</v>
      </c>
      <c r="Q20" s="360">
        <v>0</v>
      </c>
      <c r="R20" s="360">
        <v>0</v>
      </c>
      <c r="S20" s="360">
        <v>1839</v>
      </c>
      <c r="T20" s="360">
        <v>0</v>
      </c>
      <c r="U20" s="360">
        <v>0</v>
      </c>
      <c r="V20" s="360">
        <v>0</v>
      </c>
      <c r="W20" s="360">
        <v>0</v>
      </c>
      <c r="X20" s="360">
        <v>0</v>
      </c>
      <c r="Y20" s="360">
        <v>0</v>
      </c>
      <c r="Z20" s="360">
        <v>646</v>
      </c>
      <c r="AA20" s="360">
        <v>0</v>
      </c>
      <c r="AB20" s="361">
        <f t="shared" si="39"/>
        <v>1193</v>
      </c>
      <c r="AC20" s="361">
        <f t="shared" si="18"/>
        <v>1839</v>
      </c>
      <c r="AD20" s="360">
        <v>0</v>
      </c>
      <c r="AE20" s="360">
        <v>0</v>
      </c>
      <c r="AF20" s="360">
        <v>0</v>
      </c>
      <c r="AG20" s="360">
        <v>663</v>
      </c>
      <c r="AH20" s="360">
        <v>0</v>
      </c>
      <c r="AI20" s="360">
        <v>0</v>
      </c>
      <c r="AJ20" s="360">
        <v>0</v>
      </c>
      <c r="AK20" s="360">
        <v>0</v>
      </c>
      <c r="AL20" s="360">
        <v>0</v>
      </c>
      <c r="AM20" s="360">
        <v>20</v>
      </c>
      <c r="AN20" s="360">
        <v>0</v>
      </c>
      <c r="AO20" s="360">
        <v>28</v>
      </c>
      <c r="AP20" s="361">
        <f t="shared" si="19"/>
        <v>635</v>
      </c>
      <c r="AQ20" s="361">
        <f t="shared" si="20"/>
        <v>683</v>
      </c>
      <c r="AR20" s="360">
        <v>0</v>
      </c>
      <c r="AS20" s="360">
        <v>0</v>
      </c>
      <c r="AT20" s="360">
        <v>0</v>
      </c>
      <c r="AU20" s="360">
        <v>3298</v>
      </c>
      <c r="AV20" s="360">
        <v>0</v>
      </c>
      <c r="AW20" s="360">
        <v>0</v>
      </c>
      <c r="AX20" s="360">
        <v>0</v>
      </c>
      <c r="AY20" s="360">
        <v>0</v>
      </c>
      <c r="AZ20" s="360">
        <v>0</v>
      </c>
      <c r="BA20" s="360">
        <v>41</v>
      </c>
      <c r="BB20" s="360">
        <v>646</v>
      </c>
      <c r="BC20" s="360">
        <v>79</v>
      </c>
      <c r="BD20" s="361">
        <f t="shared" si="21"/>
        <v>2573</v>
      </c>
      <c r="BE20" s="361">
        <f t="shared" si="22"/>
        <v>3339</v>
      </c>
      <c r="BF20" s="361">
        <f t="shared" si="2"/>
        <v>1380</v>
      </c>
      <c r="BG20" s="361">
        <f t="shared" si="2"/>
        <v>1500</v>
      </c>
      <c r="BH20" s="360">
        <v>24489722</v>
      </c>
      <c r="BI20" s="360">
        <v>36295251</v>
      </c>
      <c r="BJ20" s="360">
        <v>72690981</v>
      </c>
      <c r="BK20" s="360">
        <v>49824156</v>
      </c>
      <c r="BL20" s="360">
        <v>-4239919</v>
      </c>
      <c r="BM20" s="360">
        <f t="shared" si="3"/>
        <v>24489722</v>
      </c>
      <c r="BN20" s="360">
        <f t="shared" si="23"/>
        <v>7334.448038334831</v>
      </c>
      <c r="BO20" s="360">
        <f t="shared" si="4"/>
        <v>36295251</v>
      </c>
      <c r="BP20" s="360">
        <f t="shared" si="24"/>
        <v>4948.600195992425</v>
      </c>
      <c r="BQ20" s="360">
        <f t="shared" si="5"/>
        <v>683</v>
      </c>
      <c r="BR20" s="360">
        <f t="shared" si="25"/>
        <v>1012.2473596474473</v>
      </c>
      <c r="BS20" s="360">
        <f t="shared" si="6"/>
        <v>1193</v>
      </c>
      <c r="BT20" s="360">
        <f t="shared" si="7"/>
        <v>635</v>
      </c>
      <c r="BU20" s="360">
        <f t="shared" si="8"/>
        <v>2573</v>
      </c>
      <c r="BV20" s="360">
        <f t="shared" si="9"/>
        <v>1380</v>
      </c>
      <c r="BW20" s="360">
        <f t="shared" si="10"/>
        <v>24489722</v>
      </c>
      <c r="BX20" s="360">
        <f t="shared" si="11"/>
        <v>36295251</v>
      </c>
      <c r="BY20" s="360">
        <f t="shared" si="12"/>
        <v>4948.600195992425</v>
      </c>
      <c r="BZ20" s="360">
        <f t="shared" si="13"/>
        <v>1012.2473596474473</v>
      </c>
      <c r="CA20" s="360">
        <f>SUMIF(NPR!A:A,A20,NPR!AQ:AQ)</f>
        <v>9017104.701000884</v>
      </c>
      <c r="CB20" s="360">
        <f>SUMIF(NPR!A:A,A20,NPR!AR:AR)</f>
        <v>0</v>
      </c>
      <c r="CC20" s="360">
        <f t="shared" si="26"/>
        <v>635</v>
      </c>
      <c r="CD20" s="360">
        <f t="shared" si="27"/>
        <v>2573</v>
      </c>
      <c r="CE20" s="362">
        <f t="shared" si="28"/>
        <v>0.2467936261173727</v>
      </c>
      <c r="CF20" s="363">
        <v>1908316.4216666222</v>
      </c>
      <c r="CG20" s="363">
        <v>5310750.923333406</v>
      </c>
      <c r="CH20" s="363">
        <f t="shared" si="29"/>
        <v>702641.2540251492</v>
      </c>
      <c r="CI20" s="363">
        <f t="shared" si="30"/>
        <v>0</v>
      </c>
      <c r="CJ20" s="362">
        <f t="shared" si="31"/>
        <v>0.007264864370130538</v>
      </c>
      <c r="CK20" s="362">
        <f t="shared" si="32"/>
        <v>0.0037727761073236246</v>
      </c>
      <c r="CL20" s="362">
        <f t="shared" si="33"/>
        <v>0.022334198039981483</v>
      </c>
      <c r="CM20" s="362">
        <f t="shared" si="34"/>
        <v>0.0038681786643212476</v>
      </c>
      <c r="CN20" s="362" t="e">
        <f t="shared" si="35"/>
        <v>#DIV/0!</v>
      </c>
      <c r="CO20" s="359" t="s">
        <v>139</v>
      </c>
      <c r="CP20" s="360">
        <v>315</v>
      </c>
      <c r="CQ20" s="360"/>
      <c r="CR20" s="360"/>
      <c r="CS20" s="360"/>
      <c r="CT20" s="361">
        <f t="shared" si="14"/>
        <v>315</v>
      </c>
      <c r="CU20" s="360">
        <v>192</v>
      </c>
      <c r="CV20" s="360"/>
      <c r="CW20" s="360"/>
      <c r="CX20" s="360"/>
      <c r="CY20" s="361">
        <f t="shared" si="15"/>
        <v>192</v>
      </c>
      <c r="CZ20" s="360">
        <v>806</v>
      </c>
      <c r="DA20" s="360"/>
      <c r="DB20" s="360"/>
      <c r="DC20" s="360"/>
      <c r="DD20" s="361">
        <f t="shared" si="16"/>
        <v>806</v>
      </c>
      <c r="DE20" s="360">
        <f t="shared" si="36"/>
        <v>491</v>
      </c>
      <c r="DF20" s="360">
        <f>2286665+3403423</f>
        <v>5690088</v>
      </c>
      <c r="DG20" s="360"/>
      <c r="DH20" s="360"/>
      <c r="DI20" s="360"/>
      <c r="DJ20" s="361">
        <f t="shared" si="17"/>
        <v>5690088</v>
      </c>
      <c r="DK20" s="362">
        <f t="shared" si="37"/>
        <v>0.09361010985396012</v>
      </c>
      <c r="DL20" s="360">
        <f t="shared" si="40"/>
        <v>8173012.5393755315</v>
      </c>
      <c r="DM20" s="360">
        <f t="shared" si="38"/>
        <v>0</v>
      </c>
    </row>
    <row r="21" spans="1:117" ht="12.75">
      <c r="A21" s="85" t="s">
        <v>15</v>
      </c>
      <c r="B21" s="85">
        <v>1006190</v>
      </c>
      <c r="C21" s="87" t="s">
        <v>39</v>
      </c>
      <c r="D21" s="357">
        <v>41640</v>
      </c>
      <c r="E21" s="357">
        <v>42004</v>
      </c>
      <c r="F21" s="358">
        <f t="shared" si="0"/>
        <v>365</v>
      </c>
      <c r="G21" s="87" t="s">
        <v>116</v>
      </c>
      <c r="H21" s="88" t="s">
        <v>54</v>
      </c>
      <c r="I21" s="359" t="str">
        <f>VLOOKUP(H21,'Parameters and Analysis'!$A$29:$B$36,2,FALSE)</f>
        <v>Included</v>
      </c>
      <c r="J21" s="87" t="s">
        <v>109</v>
      </c>
      <c r="K21" s="360">
        <v>59</v>
      </c>
      <c r="L21" s="360">
        <v>0</v>
      </c>
      <c r="M21" s="360">
        <v>0</v>
      </c>
      <c r="N21" s="360">
        <v>0</v>
      </c>
      <c r="O21" s="361">
        <f t="shared" si="1"/>
        <v>59</v>
      </c>
      <c r="P21" s="360">
        <v>38</v>
      </c>
      <c r="Q21" s="360">
        <v>0</v>
      </c>
      <c r="R21" s="360">
        <v>0</v>
      </c>
      <c r="S21" s="360">
        <v>5806</v>
      </c>
      <c r="T21" s="360">
        <v>0</v>
      </c>
      <c r="U21" s="360">
        <v>0</v>
      </c>
      <c r="V21" s="360">
        <v>0</v>
      </c>
      <c r="W21" s="360">
        <v>0</v>
      </c>
      <c r="X21" s="360">
        <v>0</v>
      </c>
      <c r="Y21" s="360">
        <v>0</v>
      </c>
      <c r="Z21" s="360">
        <v>0</v>
      </c>
      <c r="AA21" s="360">
        <v>0</v>
      </c>
      <c r="AB21" s="361">
        <f t="shared" si="39"/>
        <v>5844</v>
      </c>
      <c r="AC21" s="361">
        <f t="shared" si="18"/>
        <v>5844</v>
      </c>
      <c r="AD21" s="360">
        <v>0</v>
      </c>
      <c r="AE21" s="360">
        <v>0</v>
      </c>
      <c r="AF21" s="360">
        <v>0</v>
      </c>
      <c r="AG21" s="360">
        <v>2040</v>
      </c>
      <c r="AH21" s="360">
        <v>0</v>
      </c>
      <c r="AI21" s="360">
        <v>0</v>
      </c>
      <c r="AJ21" s="360">
        <v>0</v>
      </c>
      <c r="AK21" s="360">
        <v>0</v>
      </c>
      <c r="AL21" s="360">
        <v>0</v>
      </c>
      <c r="AM21" s="360">
        <v>0</v>
      </c>
      <c r="AN21" s="360">
        <v>504</v>
      </c>
      <c r="AO21" s="360">
        <v>0</v>
      </c>
      <c r="AP21" s="361">
        <f t="shared" si="19"/>
        <v>1536</v>
      </c>
      <c r="AQ21" s="361">
        <f t="shared" si="20"/>
        <v>2040</v>
      </c>
      <c r="AR21" s="360">
        <v>0</v>
      </c>
      <c r="AS21" s="360">
        <v>0</v>
      </c>
      <c r="AT21" s="360">
        <v>0</v>
      </c>
      <c r="AU21" s="360">
        <v>11649</v>
      </c>
      <c r="AV21" s="360">
        <v>0</v>
      </c>
      <c r="AW21" s="360">
        <v>0</v>
      </c>
      <c r="AX21" s="360">
        <v>0</v>
      </c>
      <c r="AY21" s="360">
        <v>0</v>
      </c>
      <c r="AZ21" s="360">
        <v>0</v>
      </c>
      <c r="BA21" s="360">
        <v>0</v>
      </c>
      <c r="BB21" s="360">
        <v>504</v>
      </c>
      <c r="BC21" s="360">
        <v>0</v>
      </c>
      <c r="BD21" s="361">
        <f t="shared" si="21"/>
        <v>11145</v>
      </c>
      <c r="BE21" s="361">
        <f t="shared" si="22"/>
        <v>11649</v>
      </c>
      <c r="BF21" s="361">
        <f t="shared" si="2"/>
        <v>5301</v>
      </c>
      <c r="BG21" s="361">
        <f t="shared" si="2"/>
        <v>5805</v>
      </c>
      <c r="BH21" s="360">
        <v>71389786</v>
      </c>
      <c r="BI21" s="360">
        <v>0</v>
      </c>
      <c r="BJ21" s="360">
        <v>71389786</v>
      </c>
      <c r="BK21" s="360">
        <v>34204651</v>
      </c>
      <c r="BL21" s="360">
        <v>-3376644</v>
      </c>
      <c r="BM21" s="360">
        <f t="shared" si="3"/>
        <v>71389786</v>
      </c>
      <c r="BN21" s="360">
        <f t="shared" si="23"/>
        <v>6128.404669928749</v>
      </c>
      <c r="BO21" s="360">
        <f t="shared" si="4"/>
        <v>0</v>
      </c>
      <c r="BP21" s="360">
        <f t="shared" si="24"/>
        <v>0</v>
      </c>
      <c r="BQ21" s="360">
        <f t="shared" si="5"/>
        <v>2040</v>
      </c>
      <c r="BR21" s="360">
        <f t="shared" si="25"/>
        <v>0</v>
      </c>
      <c r="BS21" s="360">
        <f t="shared" si="6"/>
        <v>5844</v>
      </c>
      <c r="BT21" s="360">
        <f t="shared" si="7"/>
        <v>1535.9999999999998</v>
      </c>
      <c r="BU21" s="360">
        <f t="shared" si="8"/>
        <v>11145</v>
      </c>
      <c r="BV21" s="360">
        <f t="shared" si="9"/>
        <v>5301</v>
      </c>
      <c r="BW21" s="360">
        <f t="shared" si="10"/>
        <v>71389786</v>
      </c>
      <c r="BX21" s="360">
        <f t="shared" si="11"/>
        <v>0</v>
      </c>
      <c r="BY21" s="360">
        <f t="shared" si="12"/>
        <v>0</v>
      </c>
      <c r="BZ21" s="360">
        <f t="shared" si="13"/>
        <v>0</v>
      </c>
      <c r="CA21" s="360">
        <f>SUMIF(NPR!A:A,A21,NPR!AQ:AQ)</f>
        <v>32791091.415601004</v>
      </c>
      <c r="CB21" s="360">
        <f>SUMIF(NPR!A:A,A21,NPR!AR:AR)</f>
        <v>0</v>
      </c>
      <c r="CC21" s="360">
        <f t="shared" si="26"/>
        <v>1535.9999999999998</v>
      </c>
      <c r="CD21" s="360">
        <f t="shared" si="27"/>
        <v>11145</v>
      </c>
      <c r="CE21" s="362">
        <f t="shared" si="28"/>
        <v>0.13781965006729474</v>
      </c>
      <c r="CF21" s="363">
        <v>11494999.566666603</v>
      </c>
      <c r="CG21" s="363">
        <f>BX21*(CF21/BW21)</f>
        <v>0</v>
      </c>
      <c r="CH21" s="363">
        <f t="shared" si="29"/>
        <v>5279937.127320406</v>
      </c>
      <c r="CI21" s="363">
        <f t="shared" si="30"/>
        <v>0</v>
      </c>
      <c r="CJ21" s="362">
        <f t="shared" si="31"/>
        <v>0.01757296326381182</v>
      </c>
      <c r="CK21" s="362">
        <f t="shared" si="32"/>
        <v>0.022725822209788363</v>
      </c>
      <c r="CL21" s="362">
        <f t="shared" si="33"/>
        <v>0</v>
      </c>
      <c r="CM21" s="362">
        <f t="shared" si="34"/>
        <v>0.029067095089932483</v>
      </c>
      <c r="CN21" s="362" t="e">
        <f t="shared" si="35"/>
        <v>#DIV/0!</v>
      </c>
      <c r="CO21" s="359" t="s">
        <v>140</v>
      </c>
      <c r="CP21" s="360">
        <v>162</v>
      </c>
      <c r="CQ21" s="360"/>
      <c r="CR21" s="360"/>
      <c r="CS21" s="360"/>
      <c r="CT21" s="361">
        <f t="shared" si="14"/>
        <v>162</v>
      </c>
      <c r="CU21" s="360">
        <v>42</v>
      </c>
      <c r="CV21" s="360"/>
      <c r="CW21" s="360"/>
      <c r="CX21" s="360"/>
      <c r="CY21" s="361">
        <f t="shared" si="15"/>
        <v>42</v>
      </c>
      <c r="CZ21" s="360">
        <v>319</v>
      </c>
      <c r="DA21" s="360"/>
      <c r="DB21" s="360"/>
      <c r="DC21" s="360"/>
      <c r="DD21" s="361">
        <f t="shared" si="16"/>
        <v>319</v>
      </c>
      <c r="DE21" s="360">
        <f t="shared" si="36"/>
        <v>157</v>
      </c>
      <c r="DF21" s="360">
        <f>18310972+17253615</f>
        <v>35564587</v>
      </c>
      <c r="DG21" s="360"/>
      <c r="DH21" s="360"/>
      <c r="DI21" s="360"/>
      <c r="DJ21" s="361">
        <f t="shared" si="17"/>
        <v>35564587</v>
      </c>
      <c r="DK21" s="362">
        <f t="shared" si="37"/>
        <v>0.49817472488291253</v>
      </c>
      <c r="DL21" s="360">
        <f t="shared" si="40"/>
        <v>16455398.471023541</v>
      </c>
      <c r="DM21" s="360">
        <f t="shared" si="38"/>
        <v>0</v>
      </c>
    </row>
    <row r="22" spans="1:117" ht="12.75">
      <c r="A22" s="85" t="s">
        <v>21</v>
      </c>
      <c r="B22" s="85">
        <v>1005826</v>
      </c>
      <c r="C22" s="87" t="s">
        <v>45</v>
      </c>
      <c r="D22" s="357">
        <v>41640</v>
      </c>
      <c r="E22" s="357">
        <v>42004</v>
      </c>
      <c r="F22" s="358">
        <f>IF(ISERROR(E22-D22+1),0,(E22-D22+1))</f>
        <v>365</v>
      </c>
      <c r="G22" s="87" t="s">
        <v>116</v>
      </c>
      <c r="H22" s="366" t="s">
        <v>119</v>
      </c>
      <c r="I22" s="359" t="str">
        <f>VLOOKUP(H22,'Parameters and Analysis'!$A$29:$B$36,2,FALSE)</f>
        <v>Included</v>
      </c>
      <c r="J22" s="87" t="s">
        <v>104</v>
      </c>
      <c r="K22" s="360">
        <v>110</v>
      </c>
      <c r="L22" s="360">
        <v>0</v>
      </c>
      <c r="M22" s="360">
        <v>0</v>
      </c>
      <c r="N22" s="360">
        <v>0</v>
      </c>
      <c r="O22" s="361">
        <f>SUM(K22:N22)</f>
        <v>110</v>
      </c>
      <c r="P22" s="360">
        <v>0</v>
      </c>
      <c r="Q22" s="360">
        <v>0</v>
      </c>
      <c r="R22" s="360">
        <v>0</v>
      </c>
      <c r="S22" s="360">
        <v>0</v>
      </c>
      <c r="T22" s="360">
        <v>0</v>
      </c>
      <c r="U22" s="360">
        <v>0</v>
      </c>
      <c r="V22" s="360">
        <v>0</v>
      </c>
      <c r="W22" s="360">
        <v>0</v>
      </c>
      <c r="X22" s="360">
        <v>0</v>
      </c>
      <c r="Y22" s="360">
        <v>0</v>
      </c>
      <c r="Z22" s="360">
        <v>0</v>
      </c>
      <c r="AA22" s="360">
        <v>0</v>
      </c>
      <c r="AB22" s="361">
        <f t="shared" si="39"/>
        <v>0</v>
      </c>
      <c r="AC22" s="361">
        <f t="shared" si="18"/>
        <v>0</v>
      </c>
      <c r="AD22" s="360">
        <v>0</v>
      </c>
      <c r="AE22" s="360">
        <v>0</v>
      </c>
      <c r="AF22" s="360">
        <v>0</v>
      </c>
      <c r="AG22" s="360">
        <v>21957</v>
      </c>
      <c r="AH22" s="360">
        <v>0</v>
      </c>
      <c r="AI22" s="360">
        <v>0</v>
      </c>
      <c r="AJ22" s="360">
        <v>0</v>
      </c>
      <c r="AK22" s="360">
        <v>0</v>
      </c>
      <c r="AL22" s="360">
        <v>0</v>
      </c>
      <c r="AM22" s="360">
        <v>0</v>
      </c>
      <c r="AN22" s="360">
        <v>0</v>
      </c>
      <c r="AO22" s="360">
        <v>0</v>
      </c>
      <c r="AP22" s="361">
        <f t="shared" si="19"/>
        <v>21957</v>
      </c>
      <c r="AQ22" s="361">
        <f t="shared" si="20"/>
        <v>21957</v>
      </c>
      <c r="AR22" s="360">
        <v>0</v>
      </c>
      <c r="AS22" s="360">
        <v>0</v>
      </c>
      <c r="AT22" s="360">
        <v>0</v>
      </c>
      <c r="AU22" s="360">
        <v>29282</v>
      </c>
      <c r="AV22" s="360">
        <v>0</v>
      </c>
      <c r="AW22" s="360">
        <v>0</v>
      </c>
      <c r="AX22" s="360">
        <v>0</v>
      </c>
      <c r="AY22" s="360">
        <v>0</v>
      </c>
      <c r="AZ22" s="360">
        <v>0</v>
      </c>
      <c r="BA22" s="360">
        <v>0</v>
      </c>
      <c r="BB22" s="360">
        <v>0</v>
      </c>
      <c r="BC22" s="360">
        <v>0</v>
      </c>
      <c r="BD22" s="361">
        <f t="shared" si="21"/>
        <v>29282</v>
      </c>
      <c r="BE22" s="361">
        <f t="shared" si="22"/>
        <v>29282</v>
      </c>
      <c r="BF22" s="361">
        <f>BD22-AB22</f>
        <v>29282</v>
      </c>
      <c r="BG22" s="361">
        <f t="shared" si="2"/>
        <v>29282</v>
      </c>
      <c r="BH22" s="360">
        <v>80658840</v>
      </c>
      <c r="BI22" s="360">
        <v>0</v>
      </c>
      <c r="BJ22" s="360">
        <v>80658840</v>
      </c>
      <c r="BK22" s="360">
        <v>25641651</v>
      </c>
      <c r="BL22" s="360">
        <v>4633416</v>
      </c>
      <c r="BM22" s="360">
        <f t="shared" si="3"/>
        <v>80658840</v>
      </c>
      <c r="BN22" s="360">
        <f t="shared" si="23"/>
        <v>2754.553650706919</v>
      </c>
      <c r="BO22" s="360">
        <f t="shared" si="4"/>
        <v>0</v>
      </c>
      <c r="BP22" s="360">
        <f t="shared" si="24"/>
        <v>0</v>
      </c>
      <c r="BQ22" s="360">
        <f t="shared" si="5"/>
        <v>21957</v>
      </c>
      <c r="BR22" s="360">
        <f t="shared" si="25"/>
        <v>0</v>
      </c>
      <c r="BS22" s="360">
        <f t="shared" si="6"/>
        <v>0</v>
      </c>
      <c r="BT22" s="360">
        <f t="shared" si="7"/>
        <v>21957</v>
      </c>
      <c r="BU22" s="360">
        <f t="shared" si="8"/>
        <v>29282</v>
      </c>
      <c r="BV22" s="360">
        <f t="shared" si="9"/>
        <v>29282</v>
      </c>
      <c r="BW22" s="360">
        <f t="shared" si="10"/>
        <v>80658840</v>
      </c>
      <c r="BX22" s="360">
        <f t="shared" si="11"/>
        <v>0</v>
      </c>
      <c r="BY22" s="360">
        <f t="shared" si="12"/>
        <v>0</v>
      </c>
      <c r="BZ22" s="360">
        <f t="shared" si="13"/>
        <v>0</v>
      </c>
      <c r="CA22" s="360">
        <f>SUMIF(NPR!A:A,A22,NPR!AQ:AQ)</f>
        <v>25641651</v>
      </c>
      <c r="CB22" s="360">
        <f>SUMIF(NPR!A:A,A22,NPR!AR:AR)</f>
        <v>0</v>
      </c>
      <c r="CC22" s="360">
        <f t="shared" si="26"/>
        <v>21957</v>
      </c>
      <c r="CD22" s="360">
        <f t="shared" si="27"/>
        <v>29282</v>
      </c>
      <c r="CE22" s="362">
        <f t="shared" si="28"/>
        <v>0.7498463219725429</v>
      </c>
      <c r="CF22" s="363">
        <v>73446131.74166632</v>
      </c>
      <c r="CG22" s="363">
        <f>BX22*(CF22/BW22)</f>
        <v>0</v>
      </c>
      <c r="CH22" s="363">
        <f t="shared" si="29"/>
        <v>23348712.644761935</v>
      </c>
      <c r="CI22" s="363">
        <f t="shared" si="30"/>
        <v>0</v>
      </c>
      <c r="CJ22" s="362">
        <f t="shared" si="31"/>
        <v>0.251204136968435</v>
      </c>
      <c r="CK22" s="362">
        <f t="shared" si="32"/>
        <v>0.1452043318729612</v>
      </c>
      <c r="CL22" s="362">
        <f t="shared" si="33"/>
        <v>0</v>
      </c>
      <c r="CM22" s="362">
        <f t="shared" si="34"/>
        <v>0.12853926747745897</v>
      </c>
      <c r="CN22" s="362" t="e">
        <f t="shared" si="35"/>
        <v>#DIV/0!</v>
      </c>
      <c r="CO22" s="359" t="s">
        <v>140</v>
      </c>
      <c r="CP22" s="360">
        <v>0</v>
      </c>
      <c r="CQ22" s="360"/>
      <c r="CR22" s="360"/>
      <c r="CS22" s="360"/>
      <c r="CT22" s="361">
        <f t="shared" si="14"/>
        <v>0</v>
      </c>
      <c r="CU22" s="360">
        <v>685</v>
      </c>
      <c r="CV22" s="360"/>
      <c r="CW22" s="360"/>
      <c r="CX22" s="360"/>
      <c r="CY22" s="361">
        <f t="shared" si="15"/>
        <v>685</v>
      </c>
      <c r="CZ22" s="360">
        <v>972</v>
      </c>
      <c r="DA22" s="360"/>
      <c r="DB22" s="360"/>
      <c r="DC22" s="360"/>
      <c r="DD22" s="361">
        <f t="shared" si="16"/>
        <v>972</v>
      </c>
      <c r="DE22" s="360">
        <f t="shared" si="36"/>
        <v>972</v>
      </c>
      <c r="DF22" s="360">
        <v>0</v>
      </c>
      <c r="DG22" s="360"/>
      <c r="DH22" s="360"/>
      <c r="DI22" s="360"/>
      <c r="DJ22" s="361">
        <f t="shared" si="17"/>
        <v>0</v>
      </c>
      <c r="DK22" s="362">
        <f t="shared" si="37"/>
        <v>0</v>
      </c>
      <c r="DL22" s="360">
        <f t="shared" si="40"/>
        <v>25641651</v>
      </c>
      <c r="DM22" s="360">
        <f t="shared" si="38"/>
        <v>0</v>
      </c>
    </row>
    <row r="23" spans="1:117" ht="12.75">
      <c r="A23" s="85" t="s">
        <v>20</v>
      </c>
      <c r="B23" s="85">
        <v>1005540</v>
      </c>
      <c r="C23" s="87" t="s">
        <v>44</v>
      </c>
      <c r="D23" s="357">
        <v>41456</v>
      </c>
      <c r="E23" s="357">
        <v>41820</v>
      </c>
      <c r="F23" s="358">
        <f t="shared" si="0"/>
        <v>365</v>
      </c>
      <c r="G23" s="87" t="s">
        <v>115</v>
      </c>
      <c r="H23" s="367" t="s">
        <v>280</v>
      </c>
      <c r="I23" s="359" t="str">
        <f>VLOOKUP(H23,'Parameters and Analysis'!$A$29:$B$36,2,FALSE)</f>
        <v>Exempt</v>
      </c>
      <c r="J23" s="87" t="s">
        <v>111</v>
      </c>
      <c r="K23" s="360">
        <v>80</v>
      </c>
      <c r="L23" s="360">
        <v>0</v>
      </c>
      <c r="M23" s="360">
        <v>0</v>
      </c>
      <c r="N23" s="360">
        <v>0</v>
      </c>
      <c r="O23" s="361">
        <f t="shared" si="1"/>
        <v>80</v>
      </c>
      <c r="P23" s="360">
        <v>0</v>
      </c>
      <c r="Q23" s="360">
        <v>0</v>
      </c>
      <c r="R23" s="360">
        <v>0</v>
      </c>
      <c r="S23" s="360">
        <v>3205</v>
      </c>
      <c r="T23" s="360">
        <v>0</v>
      </c>
      <c r="U23" s="360">
        <v>0</v>
      </c>
      <c r="V23" s="360">
        <v>0</v>
      </c>
      <c r="W23" s="360">
        <v>0</v>
      </c>
      <c r="X23" s="360">
        <v>0</v>
      </c>
      <c r="Y23" s="360">
        <v>0</v>
      </c>
      <c r="Z23" s="360">
        <v>0</v>
      </c>
      <c r="AA23" s="360">
        <v>0</v>
      </c>
      <c r="AB23" s="361">
        <f t="shared" si="39"/>
        <v>3205</v>
      </c>
      <c r="AC23" s="361">
        <f t="shared" si="18"/>
        <v>3205</v>
      </c>
      <c r="AD23" s="360">
        <v>0</v>
      </c>
      <c r="AE23" s="360">
        <v>0</v>
      </c>
      <c r="AF23" s="360">
        <v>0</v>
      </c>
      <c r="AG23" s="360">
        <v>2319</v>
      </c>
      <c r="AH23" s="360">
        <v>0</v>
      </c>
      <c r="AI23" s="360">
        <v>0</v>
      </c>
      <c r="AJ23" s="360">
        <v>0</v>
      </c>
      <c r="AK23" s="360">
        <v>0</v>
      </c>
      <c r="AL23" s="360">
        <v>0</v>
      </c>
      <c r="AM23" s="360">
        <v>0</v>
      </c>
      <c r="AN23" s="360">
        <v>0</v>
      </c>
      <c r="AO23" s="360">
        <v>0</v>
      </c>
      <c r="AP23" s="361">
        <f t="shared" si="19"/>
        <v>2319</v>
      </c>
      <c r="AQ23" s="361">
        <f t="shared" si="20"/>
        <v>2319</v>
      </c>
      <c r="AR23" s="360">
        <v>0</v>
      </c>
      <c r="AS23" s="360">
        <v>0</v>
      </c>
      <c r="AT23" s="360">
        <v>0</v>
      </c>
      <c r="AU23" s="360">
        <v>21108</v>
      </c>
      <c r="AV23" s="360">
        <v>0</v>
      </c>
      <c r="AW23" s="360">
        <v>0</v>
      </c>
      <c r="AX23" s="360">
        <v>0</v>
      </c>
      <c r="AY23" s="360">
        <v>0</v>
      </c>
      <c r="AZ23" s="360">
        <v>0</v>
      </c>
      <c r="BA23" s="360">
        <v>0</v>
      </c>
      <c r="BB23" s="360">
        <v>0</v>
      </c>
      <c r="BC23" s="360">
        <v>0</v>
      </c>
      <c r="BD23" s="361">
        <f t="shared" si="21"/>
        <v>21108</v>
      </c>
      <c r="BE23" s="361">
        <f t="shared" si="22"/>
        <v>21108</v>
      </c>
      <c r="BF23" s="361">
        <f t="shared" si="2"/>
        <v>17903</v>
      </c>
      <c r="BG23" s="361">
        <f t="shared" si="2"/>
        <v>17903</v>
      </c>
      <c r="BH23" s="360">
        <v>27244518</v>
      </c>
      <c r="BI23" s="360">
        <v>0</v>
      </c>
      <c r="BJ23" s="368">
        <f>SUM(BH23:BI23)</f>
        <v>27244518</v>
      </c>
      <c r="BK23" s="368">
        <f>SUM(BH23:BI23)</f>
        <v>27244518</v>
      </c>
      <c r="BL23" s="360">
        <v>-30760900</v>
      </c>
      <c r="BM23" s="360">
        <f t="shared" si="3"/>
        <v>27244518</v>
      </c>
      <c r="BN23" s="360">
        <f t="shared" si="23"/>
        <v>1290.7200113700967</v>
      </c>
      <c r="BO23" s="360">
        <f t="shared" si="4"/>
        <v>0</v>
      </c>
      <c r="BP23" s="360">
        <f t="shared" si="24"/>
        <v>0</v>
      </c>
      <c r="BQ23" s="360">
        <f t="shared" si="5"/>
        <v>2319</v>
      </c>
      <c r="BR23" s="360">
        <f t="shared" si="25"/>
        <v>0</v>
      </c>
      <c r="BS23" s="360">
        <f t="shared" si="6"/>
        <v>3204.9999999999995</v>
      </c>
      <c r="BT23" s="360">
        <f t="shared" si="7"/>
        <v>2319</v>
      </c>
      <c r="BU23" s="360">
        <f t="shared" si="8"/>
        <v>21108</v>
      </c>
      <c r="BV23" s="360">
        <f t="shared" si="9"/>
        <v>17903</v>
      </c>
      <c r="BW23" s="360">
        <f t="shared" si="10"/>
        <v>27244518.000000004</v>
      </c>
      <c r="BX23" s="360">
        <f t="shared" si="11"/>
        <v>0</v>
      </c>
      <c r="BY23" s="360">
        <f t="shared" si="12"/>
        <v>0</v>
      </c>
      <c r="BZ23" s="360">
        <f t="shared" si="13"/>
        <v>0</v>
      </c>
      <c r="CA23" s="360">
        <f>SUMIF(NPR!A:A,A23,NPR!AQ:AQ)</f>
        <v>27244518</v>
      </c>
      <c r="CB23" s="360">
        <f>SUMIF(NPR!A:A,A23,NPR!AR:AR)</f>
        <v>0</v>
      </c>
      <c r="CC23" s="360">
        <f t="shared" si="26"/>
        <v>2319</v>
      </c>
      <c r="CD23" s="360">
        <f t="shared" si="27"/>
        <v>21108</v>
      </c>
      <c r="CE23" s="362">
        <f t="shared" si="28"/>
        <v>0.10986355884025015</v>
      </c>
      <c r="CF23" s="363">
        <v>3106836.956666693</v>
      </c>
      <c r="CG23" s="363">
        <f>BX23*(CF23/BW23)</f>
        <v>0</v>
      </c>
      <c r="CH23" s="363">
        <f t="shared" si="29"/>
        <v>3106836.9566666926</v>
      </c>
      <c r="CI23" s="363">
        <f t="shared" si="30"/>
        <v>0</v>
      </c>
      <c r="CJ23" s="362">
        <f t="shared" si="31"/>
        <v>0.026531055865090896</v>
      </c>
      <c r="CK23" s="362">
        <f t="shared" si="32"/>
        <v>0.0061422728989699174</v>
      </c>
      <c r="CL23" s="362">
        <f t="shared" si="33"/>
        <v>0</v>
      </c>
      <c r="CM23" s="362">
        <f t="shared" si="34"/>
        <v>0.017103750114952278</v>
      </c>
      <c r="CN23" s="362" t="e">
        <f t="shared" si="35"/>
        <v>#DIV/0!</v>
      </c>
      <c r="CO23" s="359" t="s">
        <v>140</v>
      </c>
      <c r="CP23" s="360">
        <v>302</v>
      </c>
      <c r="CQ23" s="360"/>
      <c r="CR23" s="360"/>
      <c r="CS23" s="360"/>
      <c r="CT23" s="361">
        <f t="shared" si="14"/>
        <v>302</v>
      </c>
      <c r="CU23" s="360">
        <v>112</v>
      </c>
      <c r="CV23" s="360"/>
      <c r="CW23" s="360"/>
      <c r="CX23" s="360"/>
      <c r="CY23" s="361">
        <f t="shared" si="15"/>
        <v>112</v>
      </c>
      <c r="CZ23" s="360">
        <v>1607</v>
      </c>
      <c r="DA23" s="360"/>
      <c r="DB23" s="360"/>
      <c r="DC23" s="360"/>
      <c r="DD23" s="361">
        <f t="shared" si="16"/>
        <v>1607</v>
      </c>
      <c r="DE23" s="360">
        <f t="shared" si="36"/>
        <v>1305</v>
      </c>
      <c r="DF23" s="360">
        <f>4125833+6410</f>
        <v>4132243</v>
      </c>
      <c r="DG23" s="360"/>
      <c r="DH23" s="360"/>
      <c r="DI23" s="360"/>
      <c r="DJ23" s="361">
        <f t="shared" si="17"/>
        <v>4132243</v>
      </c>
      <c r="DK23" s="362">
        <f t="shared" si="37"/>
        <v>0.15167245755641554</v>
      </c>
      <c r="DL23" s="360">
        <f t="shared" si="40"/>
        <v>23112275</v>
      </c>
      <c r="DM23" s="360">
        <f t="shared" si="38"/>
        <v>0</v>
      </c>
    </row>
    <row r="24" spans="1:117" ht="12.75">
      <c r="A24" s="85" t="s">
        <v>24</v>
      </c>
      <c r="B24" s="86">
        <v>1005573</v>
      </c>
      <c r="C24" s="87" t="s">
        <v>48</v>
      </c>
      <c r="D24" s="357">
        <v>41548</v>
      </c>
      <c r="E24" s="357">
        <v>41912</v>
      </c>
      <c r="F24" s="358">
        <f aca="true" t="shared" si="41" ref="F24:F30">IF(ISERROR(E24-D24+1),0,(E24-D24+1))</f>
        <v>365</v>
      </c>
      <c r="G24" s="369" t="s">
        <v>137</v>
      </c>
      <c r="H24" s="370" t="s">
        <v>425</v>
      </c>
      <c r="I24" s="371" t="str">
        <f>VLOOKUP(H24,'Parameters and Analysis'!$A$29:$B$36,2,FALSE)</f>
        <v>Exempt</v>
      </c>
      <c r="J24" s="88" t="s">
        <v>136</v>
      </c>
      <c r="K24" s="360">
        <v>34</v>
      </c>
      <c r="L24" s="360">
        <v>0</v>
      </c>
      <c r="M24" s="360">
        <v>0</v>
      </c>
      <c r="N24" s="360">
        <v>0</v>
      </c>
      <c r="O24" s="361">
        <f aca="true" t="shared" si="42" ref="O24:O30">SUM(K24:N24)</f>
        <v>34</v>
      </c>
      <c r="P24" s="360">
        <v>0</v>
      </c>
      <c r="Q24" s="360">
        <v>0</v>
      </c>
      <c r="R24" s="360">
        <v>0</v>
      </c>
      <c r="S24" s="360">
        <v>754</v>
      </c>
      <c r="T24" s="360">
        <v>0</v>
      </c>
      <c r="U24" s="360">
        <v>0</v>
      </c>
      <c r="V24" s="360">
        <v>0</v>
      </c>
      <c r="W24" s="360">
        <v>0</v>
      </c>
      <c r="X24" s="360">
        <v>0</v>
      </c>
      <c r="Y24" s="360">
        <v>0</v>
      </c>
      <c r="Z24" s="360">
        <v>0</v>
      </c>
      <c r="AA24" s="360">
        <v>0</v>
      </c>
      <c r="AB24" s="361">
        <f t="shared" si="39"/>
        <v>754</v>
      </c>
      <c r="AC24" s="361">
        <f t="shared" si="18"/>
        <v>754</v>
      </c>
      <c r="AD24" s="360">
        <v>0</v>
      </c>
      <c r="AE24" s="360">
        <v>0</v>
      </c>
      <c r="AF24" s="360">
        <v>0</v>
      </c>
      <c r="AG24" s="360">
        <v>4428</v>
      </c>
      <c r="AH24" s="360">
        <v>0</v>
      </c>
      <c r="AI24" s="360">
        <v>0</v>
      </c>
      <c r="AJ24" s="360">
        <v>0</v>
      </c>
      <c r="AK24" s="360">
        <v>0</v>
      </c>
      <c r="AL24" s="360">
        <v>0</v>
      </c>
      <c r="AM24" s="360">
        <v>0</v>
      </c>
      <c r="AN24" s="360">
        <v>0</v>
      </c>
      <c r="AO24" s="360">
        <v>0</v>
      </c>
      <c r="AP24" s="361">
        <f t="shared" si="19"/>
        <v>4428</v>
      </c>
      <c r="AQ24" s="361">
        <f t="shared" si="20"/>
        <v>4428</v>
      </c>
      <c r="AR24" s="360">
        <v>0</v>
      </c>
      <c r="AS24" s="360">
        <v>0</v>
      </c>
      <c r="AT24" s="360">
        <v>0</v>
      </c>
      <c r="AU24" s="360">
        <v>5608</v>
      </c>
      <c r="AV24" s="360">
        <v>0</v>
      </c>
      <c r="AW24" s="360">
        <v>0</v>
      </c>
      <c r="AX24" s="360">
        <v>0</v>
      </c>
      <c r="AY24" s="360">
        <v>0</v>
      </c>
      <c r="AZ24" s="360">
        <v>0</v>
      </c>
      <c r="BA24" s="360">
        <v>0</v>
      </c>
      <c r="BB24" s="360">
        <v>0</v>
      </c>
      <c r="BC24" s="360">
        <v>0</v>
      </c>
      <c r="BD24" s="361">
        <f t="shared" si="21"/>
        <v>5608</v>
      </c>
      <c r="BE24" s="361">
        <f t="shared" si="22"/>
        <v>5608</v>
      </c>
      <c r="BF24" s="361">
        <f aca="true" t="shared" si="43" ref="BF24:BG30">BD24-AB24</f>
        <v>4854</v>
      </c>
      <c r="BG24" s="361">
        <f t="shared" si="43"/>
        <v>4854</v>
      </c>
      <c r="BH24" s="360">
        <v>112160</v>
      </c>
      <c r="BI24" s="360">
        <v>738397</v>
      </c>
      <c r="BJ24" s="368">
        <f>SUM(BH24:BI24)</f>
        <v>850557</v>
      </c>
      <c r="BK24" s="368">
        <f>SUM(BH24:BI24)</f>
        <v>850557</v>
      </c>
      <c r="BL24" s="360">
        <v>-186282114</v>
      </c>
      <c r="BM24" s="360">
        <f t="shared" si="3"/>
        <v>112160</v>
      </c>
      <c r="BN24" s="360">
        <f t="shared" si="23"/>
        <v>20</v>
      </c>
      <c r="BO24" s="360">
        <f t="shared" si="4"/>
        <v>738397</v>
      </c>
      <c r="BP24" s="360">
        <f t="shared" si="24"/>
        <v>36919.85</v>
      </c>
      <c r="BQ24" s="360">
        <f t="shared" si="5"/>
        <v>4428</v>
      </c>
      <c r="BR24" s="360">
        <f t="shared" si="25"/>
        <v>29151.407952924394</v>
      </c>
      <c r="BS24" s="360">
        <f t="shared" si="6"/>
        <v>754.0000000000001</v>
      </c>
      <c r="BT24" s="360">
        <f t="shared" si="7"/>
        <v>4428</v>
      </c>
      <c r="BU24" s="360">
        <f t="shared" si="8"/>
        <v>5608</v>
      </c>
      <c r="BV24" s="360">
        <f t="shared" si="9"/>
        <v>4854</v>
      </c>
      <c r="BW24" s="360">
        <f t="shared" si="10"/>
        <v>112160.00000000001</v>
      </c>
      <c r="BX24" s="360">
        <f t="shared" si="11"/>
        <v>738397</v>
      </c>
      <c r="BY24" s="360">
        <f t="shared" si="12"/>
        <v>36919.85</v>
      </c>
      <c r="BZ24" s="360">
        <f t="shared" si="13"/>
        <v>29151.407952924397</v>
      </c>
      <c r="CA24" s="360">
        <f>SUMIF(NPR!A:A,A24,NPR!AQ:AQ)</f>
        <v>112160</v>
      </c>
      <c r="CB24" s="360">
        <f>SUMIF(NPR!A:A,A24,NPR!AR:AR)</f>
        <v>0</v>
      </c>
      <c r="CC24" s="360">
        <f t="shared" si="26"/>
        <v>4428</v>
      </c>
      <c r="CD24" s="360">
        <f t="shared" si="27"/>
        <v>5608</v>
      </c>
      <c r="CE24" s="362">
        <f t="shared" si="28"/>
        <v>0.7895863052781741</v>
      </c>
      <c r="CF24" s="363">
        <f>BW24*(SUM($CF$6:$CF$23)+$CF$27)/(SUM($BW$6:$BW$23)+$BW$27)</f>
        <v>22295.031554085785</v>
      </c>
      <c r="CG24" s="363">
        <f>BX24*(SUM($CG$6:$CG$23)+$CG$27)/(SUM($BX$6:$BX$23)+$BX$27)</f>
        <v>104267.99197848763</v>
      </c>
      <c r="CH24" s="363">
        <f t="shared" si="29"/>
        <v>22295.031554085785</v>
      </c>
      <c r="CI24" s="363">
        <f t="shared" si="30"/>
        <v>0</v>
      </c>
      <c r="CJ24" s="362">
        <f t="shared" si="31"/>
        <v>0.05065955815895752</v>
      </c>
      <c r="CK24" s="362">
        <f t="shared" si="32"/>
        <v>4.407768093606841E-05</v>
      </c>
      <c r="CL24" s="362">
        <f t="shared" si="33"/>
        <v>0.0004384958013841588</v>
      </c>
      <c r="CM24" s="362">
        <f t="shared" si="34"/>
        <v>0.00012273854528728945</v>
      </c>
      <c r="CN24" s="362" t="e">
        <f t="shared" si="35"/>
        <v>#DIV/0!</v>
      </c>
      <c r="CO24" s="371" t="s">
        <v>139</v>
      </c>
      <c r="CP24" s="360">
        <v>204</v>
      </c>
      <c r="CQ24" s="360"/>
      <c r="CR24" s="360"/>
      <c r="CS24" s="360"/>
      <c r="CT24" s="361">
        <f t="shared" si="14"/>
        <v>204</v>
      </c>
      <c r="CU24" s="360">
        <v>1558</v>
      </c>
      <c r="CV24" s="360"/>
      <c r="CW24" s="360"/>
      <c r="CX24" s="360"/>
      <c r="CY24" s="361">
        <f t="shared" si="15"/>
        <v>1558</v>
      </c>
      <c r="CZ24" s="360">
        <v>1991</v>
      </c>
      <c r="DA24" s="360"/>
      <c r="DB24" s="360"/>
      <c r="DC24" s="360"/>
      <c r="DD24" s="361">
        <f t="shared" si="16"/>
        <v>1991</v>
      </c>
      <c r="DE24" s="360">
        <f t="shared" si="36"/>
        <v>1787</v>
      </c>
      <c r="DF24" s="360"/>
      <c r="DG24" s="360"/>
      <c r="DH24" s="360"/>
      <c r="DI24" s="360"/>
      <c r="DJ24" s="361">
        <f t="shared" si="17"/>
        <v>0</v>
      </c>
      <c r="DK24" s="372">
        <f>AVERAGE(DK6:DK21,DK23,DK26,DK27)</f>
        <v>0.12282143489185494</v>
      </c>
      <c r="DL24" s="360">
        <f t="shared" si="40"/>
        <v>98384.34786252955</v>
      </c>
      <c r="DM24" s="360">
        <f t="shared" si="38"/>
        <v>0</v>
      </c>
    </row>
    <row r="25" spans="1:117" ht="12.75">
      <c r="A25" s="85" t="s">
        <v>22</v>
      </c>
      <c r="B25" s="86">
        <v>1005643</v>
      </c>
      <c r="C25" s="87" t="s">
        <v>46</v>
      </c>
      <c r="D25" s="357">
        <v>41548</v>
      </c>
      <c r="E25" s="357">
        <v>41912</v>
      </c>
      <c r="F25" s="358">
        <f t="shared" si="41"/>
        <v>365</v>
      </c>
      <c r="G25" s="369" t="s">
        <v>137</v>
      </c>
      <c r="H25" s="370" t="s">
        <v>425</v>
      </c>
      <c r="I25" s="371" t="str">
        <f>VLOOKUP(H25,'Parameters and Analysis'!$A$29:$B$36,2,FALSE)</f>
        <v>Exempt</v>
      </c>
      <c r="J25" s="88" t="s">
        <v>136</v>
      </c>
      <c r="K25" s="360">
        <v>152</v>
      </c>
      <c r="L25" s="360">
        <v>0</v>
      </c>
      <c r="M25" s="360">
        <v>0</v>
      </c>
      <c r="N25" s="360">
        <v>0</v>
      </c>
      <c r="O25" s="361">
        <f t="shared" si="42"/>
        <v>152</v>
      </c>
      <c r="P25" s="360">
        <v>0</v>
      </c>
      <c r="Q25" s="360">
        <v>0</v>
      </c>
      <c r="R25" s="360">
        <v>0</v>
      </c>
      <c r="S25" s="360">
        <v>8215</v>
      </c>
      <c r="T25" s="360">
        <v>0</v>
      </c>
      <c r="U25" s="360">
        <v>0</v>
      </c>
      <c r="V25" s="360">
        <v>0</v>
      </c>
      <c r="W25" s="360">
        <v>0</v>
      </c>
      <c r="X25" s="360">
        <v>0</v>
      </c>
      <c r="Y25" s="360">
        <v>0</v>
      </c>
      <c r="Z25" s="360">
        <v>0</v>
      </c>
      <c r="AA25" s="360">
        <v>0</v>
      </c>
      <c r="AB25" s="361">
        <f t="shared" si="39"/>
        <v>8215</v>
      </c>
      <c r="AC25" s="361">
        <f t="shared" si="18"/>
        <v>8215</v>
      </c>
      <c r="AD25" s="360">
        <v>0</v>
      </c>
      <c r="AE25" s="360">
        <v>0</v>
      </c>
      <c r="AF25" s="360">
        <v>0</v>
      </c>
      <c r="AG25" s="360">
        <v>15602</v>
      </c>
      <c r="AH25" s="360">
        <v>0</v>
      </c>
      <c r="AI25" s="360">
        <v>0</v>
      </c>
      <c r="AJ25" s="360">
        <v>0</v>
      </c>
      <c r="AK25" s="360">
        <v>0</v>
      </c>
      <c r="AL25" s="360">
        <v>0</v>
      </c>
      <c r="AM25" s="360">
        <v>0</v>
      </c>
      <c r="AN25" s="360">
        <v>0</v>
      </c>
      <c r="AO25" s="360">
        <v>0</v>
      </c>
      <c r="AP25" s="361">
        <f t="shared" si="19"/>
        <v>15602</v>
      </c>
      <c r="AQ25" s="361">
        <f t="shared" si="20"/>
        <v>15602</v>
      </c>
      <c r="AR25" s="360">
        <v>0</v>
      </c>
      <c r="AS25" s="360">
        <v>0</v>
      </c>
      <c r="AT25" s="360">
        <v>0</v>
      </c>
      <c r="AU25" s="360">
        <v>39601</v>
      </c>
      <c r="AV25" s="360">
        <v>0</v>
      </c>
      <c r="AW25" s="360">
        <v>0</v>
      </c>
      <c r="AX25" s="360">
        <v>0</v>
      </c>
      <c r="AY25" s="360">
        <v>0</v>
      </c>
      <c r="AZ25" s="360">
        <v>0</v>
      </c>
      <c r="BA25" s="360">
        <v>0</v>
      </c>
      <c r="BB25" s="360">
        <v>0</v>
      </c>
      <c r="BC25" s="360">
        <v>0</v>
      </c>
      <c r="BD25" s="361">
        <f t="shared" si="21"/>
        <v>39601</v>
      </c>
      <c r="BE25" s="361">
        <f t="shared" si="22"/>
        <v>39601</v>
      </c>
      <c r="BF25" s="361">
        <f t="shared" si="43"/>
        <v>31386</v>
      </c>
      <c r="BG25" s="361">
        <f t="shared" si="43"/>
        <v>31386</v>
      </c>
      <c r="BH25" s="360">
        <v>712836</v>
      </c>
      <c r="BI25" s="360">
        <v>3208416</v>
      </c>
      <c r="BJ25" s="368">
        <f>SUM(BH25:BI25)</f>
        <v>3921252</v>
      </c>
      <c r="BK25" s="368">
        <f>SUM(BH25:BI25)</f>
        <v>3921252</v>
      </c>
      <c r="BL25" s="360">
        <v>-324970117</v>
      </c>
      <c r="BM25" s="360">
        <f t="shared" si="3"/>
        <v>712836</v>
      </c>
      <c r="BN25" s="360">
        <f t="shared" si="23"/>
        <v>18.000454533976416</v>
      </c>
      <c r="BO25" s="360">
        <f t="shared" si="4"/>
        <v>3208416</v>
      </c>
      <c r="BP25" s="360">
        <f t="shared" si="24"/>
        <v>178240.83241587123</v>
      </c>
      <c r="BQ25" s="360">
        <f t="shared" si="5"/>
        <v>15602</v>
      </c>
      <c r="BR25" s="360">
        <f t="shared" si="25"/>
        <v>70223.31424338838</v>
      </c>
      <c r="BS25" s="360">
        <f t="shared" si="6"/>
        <v>8215</v>
      </c>
      <c r="BT25" s="360">
        <f t="shared" si="7"/>
        <v>15602</v>
      </c>
      <c r="BU25" s="360">
        <f t="shared" si="8"/>
        <v>39601</v>
      </c>
      <c r="BV25" s="360">
        <f t="shared" si="9"/>
        <v>31386</v>
      </c>
      <c r="BW25" s="360">
        <f t="shared" si="10"/>
        <v>712836</v>
      </c>
      <c r="BX25" s="360">
        <f t="shared" si="11"/>
        <v>3208415.9999999995</v>
      </c>
      <c r="BY25" s="360">
        <f t="shared" si="12"/>
        <v>178240.83241587123</v>
      </c>
      <c r="BZ25" s="360">
        <f t="shared" si="13"/>
        <v>70223.31424338838</v>
      </c>
      <c r="CA25" s="360">
        <f>SUMIF(NPR!A:A,A25,NPR!AQ:AQ)</f>
        <v>712836</v>
      </c>
      <c r="CB25" s="360">
        <f>SUMIF(NPR!A:A,A25,NPR!AR:AR)</f>
        <v>0</v>
      </c>
      <c r="CC25" s="360">
        <f t="shared" si="26"/>
        <v>15602</v>
      </c>
      <c r="CD25" s="360">
        <f t="shared" si="27"/>
        <v>39601</v>
      </c>
      <c r="CE25" s="362">
        <f t="shared" si="28"/>
        <v>0.39397995000126257</v>
      </c>
      <c r="CF25" s="363">
        <f aca="true" t="shared" si="44" ref="CF25:CF30">BW25*(SUM($CF$6:$CF$23)+$CF$27)/(SUM($BW$6:$BW$23)+$BW$27)</f>
        <v>141696.6932318856</v>
      </c>
      <c r="CG25" s="363">
        <f aca="true" t="shared" si="45" ref="CG25:CG30">BX25*(SUM($CG$6:$CG$23)+$CG$27)/(SUM($BX$6:$BX$23)+$BX$27)</f>
        <v>453055.86798382347</v>
      </c>
      <c r="CH25" s="363">
        <f t="shared" si="29"/>
        <v>141696.6932318856</v>
      </c>
      <c r="CI25" s="363">
        <f t="shared" si="30"/>
        <v>0</v>
      </c>
      <c r="CJ25" s="362">
        <f t="shared" si="31"/>
        <v>0.1784982896106719</v>
      </c>
      <c r="CK25" s="362">
        <f t="shared" si="32"/>
        <v>0.0002801369273158278</v>
      </c>
      <c r="CL25" s="362">
        <f t="shared" si="33"/>
        <v>0.0019053123795109636</v>
      </c>
      <c r="CM25" s="362">
        <f t="shared" si="34"/>
        <v>0.0007800682388410329</v>
      </c>
      <c r="CN25" s="362" t="e">
        <f t="shared" si="35"/>
        <v>#DIV/0!</v>
      </c>
      <c r="CO25" s="371" t="s">
        <v>140</v>
      </c>
      <c r="CP25" s="360">
        <v>1431</v>
      </c>
      <c r="CQ25" s="360"/>
      <c r="CR25" s="360"/>
      <c r="CS25" s="360"/>
      <c r="CT25" s="361">
        <f t="shared" si="14"/>
        <v>1431</v>
      </c>
      <c r="CU25" s="360">
        <v>3727</v>
      </c>
      <c r="CV25" s="360"/>
      <c r="CW25" s="360"/>
      <c r="CX25" s="360"/>
      <c r="CY25" s="361">
        <f t="shared" si="15"/>
        <v>3727</v>
      </c>
      <c r="CZ25" s="360">
        <v>7311</v>
      </c>
      <c r="DA25" s="360"/>
      <c r="DB25" s="360"/>
      <c r="DC25" s="360"/>
      <c r="DD25" s="361">
        <f t="shared" si="16"/>
        <v>7311</v>
      </c>
      <c r="DE25" s="360">
        <f t="shared" si="36"/>
        <v>5880</v>
      </c>
      <c r="DF25" s="360"/>
      <c r="DG25" s="360"/>
      <c r="DH25" s="360"/>
      <c r="DI25" s="360"/>
      <c r="DJ25" s="361">
        <f t="shared" si="17"/>
        <v>0</v>
      </c>
      <c r="DK25" s="372">
        <f>AVERAGE(DK6:DK21,DK23,DK26,DK27)</f>
        <v>0.12282143489185494</v>
      </c>
      <c r="DL25" s="360">
        <f t="shared" si="40"/>
        <v>625284.4596374297</v>
      </c>
      <c r="DM25" s="360">
        <f t="shared" si="38"/>
        <v>0</v>
      </c>
    </row>
    <row r="26" spans="1:117" ht="12.75">
      <c r="A26" s="85" t="s">
        <v>27</v>
      </c>
      <c r="B26" s="86">
        <v>1005604</v>
      </c>
      <c r="C26" s="87" t="s">
        <v>51</v>
      </c>
      <c r="D26" s="357">
        <v>41548</v>
      </c>
      <c r="E26" s="357">
        <v>41912</v>
      </c>
      <c r="F26" s="358">
        <f t="shared" si="41"/>
        <v>365</v>
      </c>
      <c r="G26" s="369" t="s">
        <v>137</v>
      </c>
      <c r="H26" s="370" t="s">
        <v>425</v>
      </c>
      <c r="I26" s="371" t="str">
        <f>VLOOKUP(H26,'Parameters and Analysis'!$A$29:$B$36,2,FALSE)</f>
        <v>Exempt</v>
      </c>
      <c r="J26" s="88" t="s">
        <v>136</v>
      </c>
      <c r="K26" s="360">
        <v>27</v>
      </c>
      <c r="L26" s="360">
        <v>0</v>
      </c>
      <c r="M26" s="360">
        <v>0</v>
      </c>
      <c r="N26" s="360">
        <v>0</v>
      </c>
      <c r="O26" s="361">
        <f t="shared" si="42"/>
        <v>27</v>
      </c>
      <c r="P26" s="360">
        <v>0</v>
      </c>
      <c r="Q26" s="360">
        <v>0</v>
      </c>
      <c r="R26" s="360">
        <v>0</v>
      </c>
      <c r="S26" s="360">
        <v>1238</v>
      </c>
      <c r="T26" s="360">
        <v>0</v>
      </c>
      <c r="U26" s="360">
        <v>0</v>
      </c>
      <c r="V26" s="360">
        <v>0</v>
      </c>
      <c r="W26" s="360">
        <v>0</v>
      </c>
      <c r="X26" s="360">
        <v>0</v>
      </c>
      <c r="Y26" s="360">
        <v>0</v>
      </c>
      <c r="Z26" s="360">
        <v>0</v>
      </c>
      <c r="AA26" s="360">
        <v>0</v>
      </c>
      <c r="AB26" s="361">
        <f t="shared" si="39"/>
        <v>1238</v>
      </c>
      <c r="AC26" s="361">
        <f t="shared" si="18"/>
        <v>1238</v>
      </c>
      <c r="AD26" s="360">
        <v>0</v>
      </c>
      <c r="AE26" s="360">
        <v>0</v>
      </c>
      <c r="AF26" s="360">
        <v>0</v>
      </c>
      <c r="AG26" s="360">
        <v>508</v>
      </c>
      <c r="AH26" s="360">
        <v>0</v>
      </c>
      <c r="AI26" s="360">
        <v>0</v>
      </c>
      <c r="AJ26" s="360">
        <v>0</v>
      </c>
      <c r="AK26" s="360">
        <v>0</v>
      </c>
      <c r="AL26" s="360">
        <v>0</v>
      </c>
      <c r="AM26" s="360">
        <v>0</v>
      </c>
      <c r="AN26" s="360">
        <v>0</v>
      </c>
      <c r="AO26" s="360">
        <v>0</v>
      </c>
      <c r="AP26" s="361">
        <f t="shared" si="19"/>
        <v>508</v>
      </c>
      <c r="AQ26" s="361">
        <f t="shared" si="20"/>
        <v>508</v>
      </c>
      <c r="AR26" s="360">
        <v>0</v>
      </c>
      <c r="AS26" s="360">
        <v>0</v>
      </c>
      <c r="AT26" s="360">
        <v>0</v>
      </c>
      <c r="AU26" s="360">
        <v>2190</v>
      </c>
      <c r="AV26" s="360">
        <v>0</v>
      </c>
      <c r="AW26" s="360">
        <v>0</v>
      </c>
      <c r="AX26" s="360">
        <v>0</v>
      </c>
      <c r="AY26" s="360">
        <v>0</v>
      </c>
      <c r="AZ26" s="360">
        <v>0</v>
      </c>
      <c r="BA26" s="360">
        <v>0</v>
      </c>
      <c r="BB26" s="360">
        <v>0</v>
      </c>
      <c r="BC26" s="360">
        <v>0</v>
      </c>
      <c r="BD26" s="361">
        <f t="shared" si="21"/>
        <v>2190</v>
      </c>
      <c r="BE26" s="361">
        <f t="shared" si="22"/>
        <v>2190</v>
      </c>
      <c r="BF26" s="361">
        <f t="shared" si="43"/>
        <v>952</v>
      </c>
      <c r="BG26" s="361">
        <f t="shared" si="43"/>
        <v>952</v>
      </c>
      <c r="BH26" s="360">
        <v>8128879</v>
      </c>
      <c r="BI26" s="360">
        <v>36714014</v>
      </c>
      <c r="BJ26" s="368">
        <f>SUM(BH26:BI26)</f>
        <v>44842893</v>
      </c>
      <c r="BK26" s="368">
        <f>SUM(BH26:BI26)</f>
        <v>44842893</v>
      </c>
      <c r="BL26" s="360">
        <v>-111036686</v>
      </c>
      <c r="BM26" s="360">
        <f t="shared" si="3"/>
        <v>8128879</v>
      </c>
      <c r="BN26" s="360">
        <f t="shared" si="23"/>
        <v>3711.816894977169</v>
      </c>
      <c r="BO26" s="360">
        <f t="shared" si="4"/>
        <v>36714014</v>
      </c>
      <c r="BP26" s="360">
        <f t="shared" si="24"/>
        <v>9891.116679187868</v>
      </c>
      <c r="BQ26" s="360">
        <f t="shared" si="5"/>
        <v>508</v>
      </c>
      <c r="BR26" s="360">
        <f t="shared" si="25"/>
        <v>2294.377750240839</v>
      </c>
      <c r="BS26" s="360">
        <f t="shared" si="6"/>
        <v>1238</v>
      </c>
      <c r="BT26" s="360">
        <f t="shared" si="7"/>
        <v>508</v>
      </c>
      <c r="BU26" s="360">
        <f t="shared" si="8"/>
        <v>2190</v>
      </c>
      <c r="BV26" s="360">
        <f t="shared" si="9"/>
        <v>952</v>
      </c>
      <c r="BW26" s="360">
        <f t="shared" si="10"/>
        <v>8128879.000000001</v>
      </c>
      <c r="BX26" s="360">
        <f t="shared" si="11"/>
        <v>36714014</v>
      </c>
      <c r="BY26" s="360">
        <f t="shared" si="12"/>
        <v>9891.116679187868</v>
      </c>
      <c r="BZ26" s="360">
        <f t="shared" si="13"/>
        <v>2294.377750240839</v>
      </c>
      <c r="CA26" s="360">
        <f>SUMIF(NPR!A:A,A26,NPR!AQ:AQ)</f>
        <v>8128879</v>
      </c>
      <c r="CB26" s="360">
        <f>SUMIF(NPR!A:A,A26,NPR!AR:AR)</f>
        <v>0</v>
      </c>
      <c r="CC26" s="360">
        <f t="shared" si="26"/>
        <v>508</v>
      </c>
      <c r="CD26" s="360">
        <f t="shared" si="27"/>
        <v>2190</v>
      </c>
      <c r="CE26" s="362">
        <f t="shared" si="28"/>
        <v>0.2319634703196347</v>
      </c>
      <c r="CF26" s="363">
        <f t="shared" si="44"/>
        <v>1615848.9105237632</v>
      </c>
      <c r="CG26" s="363">
        <f t="shared" si="45"/>
        <v>5184333.789614641</v>
      </c>
      <c r="CH26" s="363">
        <f t="shared" si="29"/>
        <v>1615848.910523763</v>
      </c>
      <c r="CI26" s="363">
        <f t="shared" si="30"/>
        <v>0</v>
      </c>
      <c r="CJ26" s="362">
        <f t="shared" si="31"/>
        <v>0.005811891496104431</v>
      </c>
      <c r="CK26" s="362">
        <f t="shared" si="32"/>
        <v>0.003194562543954233</v>
      </c>
      <c r="CL26" s="362">
        <f t="shared" si="33"/>
        <v>0.021802554711028384</v>
      </c>
      <c r="CM26" s="362">
        <f t="shared" si="34"/>
        <v>0.00889556689797072</v>
      </c>
      <c r="CN26" s="362" t="e">
        <f t="shared" si="35"/>
        <v>#DIV/0!</v>
      </c>
      <c r="CO26" s="371" t="s">
        <v>140</v>
      </c>
      <c r="CP26" s="360">
        <v>129</v>
      </c>
      <c r="CQ26" s="360"/>
      <c r="CR26" s="360"/>
      <c r="CS26" s="360"/>
      <c r="CT26" s="361">
        <f t="shared" si="14"/>
        <v>129</v>
      </c>
      <c r="CU26" s="360">
        <v>140</v>
      </c>
      <c r="CV26" s="360"/>
      <c r="CW26" s="360"/>
      <c r="CX26" s="360"/>
      <c r="CY26" s="361">
        <f t="shared" si="15"/>
        <v>140</v>
      </c>
      <c r="CZ26" s="360">
        <v>575</v>
      </c>
      <c r="DA26" s="360"/>
      <c r="DB26" s="360"/>
      <c r="DC26" s="360"/>
      <c r="DD26" s="361">
        <f t="shared" si="16"/>
        <v>575</v>
      </c>
      <c r="DE26" s="360">
        <f t="shared" si="36"/>
        <v>446</v>
      </c>
      <c r="DF26" s="360">
        <f>2212058+629519</f>
        <v>2841577</v>
      </c>
      <c r="DG26" s="360"/>
      <c r="DH26" s="360"/>
      <c r="DI26" s="360"/>
      <c r="DJ26" s="361">
        <f t="shared" si="17"/>
        <v>2841577</v>
      </c>
      <c r="DK26" s="362">
        <f t="shared" si="37"/>
        <v>0.06336738800505133</v>
      </c>
      <c r="DL26" s="360">
        <f t="shared" si="40"/>
        <v>7613773.170360886</v>
      </c>
      <c r="DM26" s="360">
        <f t="shared" si="38"/>
        <v>0</v>
      </c>
    </row>
    <row r="27" spans="1:117" ht="12.75">
      <c r="A27" s="85" t="s">
        <v>28</v>
      </c>
      <c r="B27" s="85">
        <v>1005753</v>
      </c>
      <c r="C27" s="87" t="s">
        <v>52</v>
      </c>
      <c r="D27" s="357">
        <v>41548</v>
      </c>
      <c r="E27" s="357">
        <v>41912</v>
      </c>
      <c r="F27" s="358">
        <f>IF(ISERROR(E27-D27+1),0,(E27-D27+1))</f>
        <v>365</v>
      </c>
      <c r="G27" s="373" t="s">
        <v>137</v>
      </c>
      <c r="H27" s="370" t="s">
        <v>425</v>
      </c>
      <c r="I27" s="359" t="str">
        <f>VLOOKUP(H27,'Parameters and Analysis'!$A$29:$B$36,2,FALSE)</f>
        <v>Exempt</v>
      </c>
      <c r="J27" s="87" t="s">
        <v>106</v>
      </c>
      <c r="K27" s="360">
        <v>18</v>
      </c>
      <c r="L27" s="360">
        <v>0</v>
      </c>
      <c r="M27" s="360">
        <v>0</v>
      </c>
      <c r="N27" s="360">
        <v>0</v>
      </c>
      <c r="O27" s="361">
        <f>SUM(K27:N27)</f>
        <v>18</v>
      </c>
      <c r="P27" s="360">
        <v>0</v>
      </c>
      <c r="Q27" s="360">
        <v>0</v>
      </c>
      <c r="R27" s="360">
        <v>0</v>
      </c>
      <c r="S27" s="360">
        <v>402</v>
      </c>
      <c r="T27" s="360">
        <v>0</v>
      </c>
      <c r="U27" s="360">
        <v>0</v>
      </c>
      <c r="V27" s="360">
        <v>0</v>
      </c>
      <c r="W27" s="360">
        <v>0</v>
      </c>
      <c r="X27" s="360">
        <v>0</v>
      </c>
      <c r="Y27" s="360">
        <v>0</v>
      </c>
      <c r="Z27" s="360">
        <v>58</v>
      </c>
      <c r="AA27" s="360">
        <v>0</v>
      </c>
      <c r="AB27" s="361">
        <f t="shared" si="39"/>
        <v>344</v>
      </c>
      <c r="AC27" s="361">
        <f t="shared" si="18"/>
        <v>402</v>
      </c>
      <c r="AD27" s="360">
        <v>0</v>
      </c>
      <c r="AE27" s="360">
        <v>0</v>
      </c>
      <c r="AF27" s="360">
        <v>0</v>
      </c>
      <c r="AG27" s="360">
        <v>667</v>
      </c>
      <c r="AH27" s="360">
        <v>0</v>
      </c>
      <c r="AI27" s="360">
        <v>0</v>
      </c>
      <c r="AJ27" s="360">
        <v>0</v>
      </c>
      <c r="AK27" s="360">
        <v>0</v>
      </c>
      <c r="AL27" s="360">
        <v>0</v>
      </c>
      <c r="AM27" s="360">
        <v>0</v>
      </c>
      <c r="AN27" s="360">
        <v>0</v>
      </c>
      <c r="AO27" s="360">
        <v>0</v>
      </c>
      <c r="AP27" s="361">
        <f t="shared" si="19"/>
        <v>667</v>
      </c>
      <c r="AQ27" s="361">
        <f t="shared" si="20"/>
        <v>667</v>
      </c>
      <c r="AR27" s="360">
        <v>0</v>
      </c>
      <c r="AS27" s="360">
        <v>0</v>
      </c>
      <c r="AT27" s="360">
        <v>0</v>
      </c>
      <c r="AU27" s="360">
        <v>1945</v>
      </c>
      <c r="AV27" s="360">
        <v>0</v>
      </c>
      <c r="AW27" s="360">
        <v>0</v>
      </c>
      <c r="AX27" s="360">
        <v>0</v>
      </c>
      <c r="AY27" s="360">
        <v>0</v>
      </c>
      <c r="AZ27" s="360">
        <v>0</v>
      </c>
      <c r="BA27" s="360">
        <v>0</v>
      </c>
      <c r="BB27" s="360">
        <v>58</v>
      </c>
      <c r="BC27" s="360">
        <v>194</v>
      </c>
      <c r="BD27" s="361">
        <f t="shared" si="21"/>
        <v>1693</v>
      </c>
      <c r="BE27" s="361">
        <f t="shared" si="22"/>
        <v>1945</v>
      </c>
      <c r="BF27" s="361">
        <f>BD27-AB27</f>
        <v>1349</v>
      </c>
      <c r="BG27" s="361">
        <f t="shared" si="43"/>
        <v>1543</v>
      </c>
      <c r="BH27" s="360">
        <v>19789284</v>
      </c>
      <c r="BI27" s="360">
        <v>48734379</v>
      </c>
      <c r="BJ27" s="360">
        <v>92146278</v>
      </c>
      <c r="BK27" s="360">
        <v>80587968</v>
      </c>
      <c r="BL27" s="360">
        <v>-33958614</v>
      </c>
      <c r="BM27" s="360">
        <f t="shared" si="3"/>
        <v>19789284</v>
      </c>
      <c r="BN27" s="360">
        <f t="shared" si="23"/>
        <v>10174.439074550128</v>
      </c>
      <c r="BO27" s="360">
        <f t="shared" si="4"/>
        <v>48734379</v>
      </c>
      <c r="BP27" s="360">
        <f t="shared" si="24"/>
        <v>4789.883613525381</v>
      </c>
      <c r="BQ27" s="360">
        <f t="shared" si="5"/>
        <v>667</v>
      </c>
      <c r="BR27" s="360">
        <f t="shared" si="25"/>
        <v>1642.5976196511206</v>
      </c>
      <c r="BS27" s="360">
        <f t="shared" si="6"/>
        <v>344</v>
      </c>
      <c r="BT27" s="360">
        <f t="shared" si="7"/>
        <v>667</v>
      </c>
      <c r="BU27" s="360">
        <f t="shared" si="8"/>
        <v>1693</v>
      </c>
      <c r="BV27" s="360">
        <f t="shared" si="9"/>
        <v>1349</v>
      </c>
      <c r="BW27" s="360">
        <f t="shared" si="10"/>
        <v>19789284</v>
      </c>
      <c r="BX27" s="360">
        <f t="shared" si="11"/>
        <v>48734379</v>
      </c>
      <c r="BY27" s="360">
        <f t="shared" si="12"/>
        <v>4789.883613525381</v>
      </c>
      <c r="BZ27" s="360">
        <f t="shared" si="13"/>
        <v>1642.5976196511208</v>
      </c>
      <c r="CA27" s="360">
        <f>SUMIF(NPR!A:A,A27,NPR!AQ:AQ)</f>
        <v>10962430.23785686</v>
      </c>
      <c r="CB27" s="360">
        <f>SUMIF(NPR!A:A,A27,NPR!AR:AR)</f>
        <v>0</v>
      </c>
      <c r="CC27" s="360">
        <f t="shared" si="26"/>
        <v>667</v>
      </c>
      <c r="CD27" s="360">
        <f t="shared" si="27"/>
        <v>1693</v>
      </c>
      <c r="CE27" s="362">
        <f t="shared" si="28"/>
        <v>0.3939751919669226</v>
      </c>
      <c r="CF27" s="363">
        <v>2486398.896666676</v>
      </c>
      <c r="CG27" s="363">
        <v>4064416.2233333588</v>
      </c>
      <c r="CH27" s="363">
        <f t="shared" si="29"/>
        <v>1377360.3152187162</v>
      </c>
      <c r="CI27" s="363">
        <f t="shared" si="30"/>
        <v>0</v>
      </c>
      <c r="CJ27" s="362">
        <f t="shared" si="31"/>
        <v>0.007630967771459952</v>
      </c>
      <c r="CK27" s="362">
        <f t="shared" si="32"/>
        <v>0.004915655624043373</v>
      </c>
      <c r="CL27" s="362">
        <f t="shared" si="33"/>
        <v>0.01709277617408268</v>
      </c>
      <c r="CM27" s="362">
        <f t="shared" si="34"/>
        <v>0.007582640150845924</v>
      </c>
      <c r="CN27" s="362" t="e">
        <f t="shared" si="35"/>
        <v>#DIV/0!</v>
      </c>
      <c r="CO27" s="359" t="s">
        <v>139</v>
      </c>
      <c r="CP27" s="360">
        <v>104</v>
      </c>
      <c r="CQ27" s="360"/>
      <c r="CR27" s="360"/>
      <c r="CS27" s="360"/>
      <c r="CT27" s="361">
        <f>SUM(CP27:CS27)</f>
        <v>104</v>
      </c>
      <c r="CU27" s="360">
        <v>235</v>
      </c>
      <c r="CV27" s="360"/>
      <c r="CW27" s="360"/>
      <c r="CX27" s="360"/>
      <c r="CY27" s="361">
        <f>SUM(CU27:CX27)</f>
        <v>235</v>
      </c>
      <c r="CZ27" s="360">
        <v>744</v>
      </c>
      <c r="DA27" s="360"/>
      <c r="DB27" s="360"/>
      <c r="DC27" s="360"/>
      <c r="DD27" s="361">
        <f>SUM(CZ27:DC27)</f>
        <v>744</v>
      </c>
      <c r="DE27" s="360">
        <f t="shared" si="36"/>
        <v>640</v>
      </c>
      <c r="DF27" s="360">
        <f>1816423+626223</f>
        <v>2442646</v>
      </c>
      <c r="DG27" s="360"/>
      <c r="DH27" s="360"/>
      <c r="DI27" s="360"/>
      <c r="DJ27" s="361">
        <f>SUM(DF27:DI27)</f>
        <v>2442646</v>
      </c>
      <c r="DK27" s="362">
        <f t="shared" si="37"/>
        <v>0.035646751692185515</v>
      </c>
      <c r="DL27" s="360">
        <f t="shared" si="40"/>
        <v>10571655.20922507</v>
      </c>
      <c r="DM27" s="360">
        <f t="shared" si="38"/>
        <v>0</v>
      </c>
    </row>
    <row r="28" spans="1:117" ht="12.75">
      <c r="A28" s="85" t="s">
        <v>25</v>
      </c>
      <c r="B28" s="86">
        <v>1005794</v>
      </c>
      <c r="C28" s="87" t="s">
        <v>49</v>
      </c>
      <c r="D28" s="357">
        <v>41548</v>
      </c>
      <c r="E28" s="357">
        <v>41912</v>
      </c>
      <c r="F28" s="358">
        <f t="shared" si="41"/>
        <v>365</v>
      </c>
      <c r="G28" s="369" t="s">
        <v>137</v>
      </c>
      <c r="H28" s="370" t="s">
        <v>425</v>
      </c>
      <c r="I28" s="371" t="str">
        <f>VLOOKUP(H28,'Parameters and Analysis'!$A$29:$B$36,2,FALSE)</f>
        <v>Exempt</v>
      </c>
      <c r="J28" s="88" t="s">
        <v>136</v>
      </c>
      <c r="K28" s="360">
        <v>16</v>
      </c>
      <c r="L28" s="360">
        <v>0</v>
      </c>
      <c r="M28" s="360">
        <v>0</v>
      </c>
      <c r="N28" s="360">
        <v>0</v>
      </c>
      <c r="O28" s="361">
        <f t="shared" si="42"/>
        <v>16</v>
      </c>
      <c r="P28" s="360">
        <v>0</v>
      </c>
      <c r="Q28" s="360">
        <v>0</v>
      </c>
      <c r="R28" s="360">
        <v>0</v>
      </c>
      <c r="S28" s="360">
        <v>353</v>
      </c>
      <c r="T28" s="360">
        <v>0</v>
      </c>
      <c r="U28" s="360">
        <v>0</v>
      </c>
      <c r="V28" s="360">
        <v>0</v>
      </c>
      <c r="W28" s="360">
        <v>0</v>
      </c>
      <c r="X28" s="360">
        <v>0</v>
      </c>
      <c r="Y28" s="360">
        <v>0</v>
      </c>
      <c r="Z28" s="360">
        <v>106</v>
      </c>
      <c r="AA28" s="360">
        <v>0</v>
      </c>
      <c r="AB28" s="361">
        <f t="shared" si="39"/>
        <v>247</v>
      </c>
      <c r="AC28" s="361">
        <f t="shared" si="18"/>
        <v>353</v>
      </c>
      <c r="AD28" s="360">
        <v>0</v>
      </c>
      <c r="AE28" s="360">
        <v>0</v>
      </c>
      <c r="AF28" s="360">
        <v>0</v>
      </c>
      <c r="AG28" s="360">
        <v>117</v>
      </c>
      <c r="AH28" s="360">
        <v>0</v>
      </c>
      <c r="AI28" s="360">
        <v>0</v>
      </c>
      <c r="AJ28" s="360">
        <v>0</v>
      </c>
      <c r="AK28" s="360">
        <v>0</v>
      </c>
      <c r="AL28" s="360">
        <v>0</v>
      </c>
      <c r="AM28" s="360">
        <v>0</v>
      </c>
      <c r="AN28" s="360">
        <v>0</v>
      </c>
      <c r="AO28" s="360">
        <v>0</v>
      </c>
      <c r="AP28" s="361">
        <f t="shared" si="19"/>
        <v>117</v>
      </c>
      <c r="AQ28" s="361">
        <f t="shared" si="20"/>
        <v>117</v>
      </c>
      <c r="AR28" s="360">
        <v>0</v>
      </c>
      <c r="AS28" s="360">
        <v>0</v>
      </c>
      <c r="AT28" s="360">
        <v>0</v>
      </c>
      <c r="AU28" s="360">
        <v>1225</v>
      </c>
      <c r="AV28" s="360">
        <v>0</v>
      </c>
      <c r="AW28" s="360">
        <v>0</v>
      </c>
      <c r="AX28" s="360">
        <v>0</v>
      </c>
      <c r="AY28" s="360">
        <v>0</v>
      </c>
      <c r="AZ28" s="360">
        <v>0</v>
      </c>
      <c r="BA28" s="360">
        <v>0</v>
      </c>
      <c r="BB28" s="360">
        <v>106</v>
      </c>
      <c r="BC28" s="360">
        <v>306</v>
      </c>
      <c r="BD28" s="361">
        <f t="shared" si="21"/>
        <v>813</v>
      </c>
      <c r="BE28" s="361">
        <f t="shared" si="22"/>
        <v>1225</v>
      </c>
      <c r="BF28" s="361">
        <f t="shared" si="43"/>
        <v>566</v>
      </c>
      <c r="BG28" s="361">
        <f t="shared" si="43"/>
        <v>872</v>
      </c>
      <c r="BH28" s="360">
        <v>10109</v>
      </c>
      <c r="BI28" s="360">
        <v>125210</v>
      </c>
      <c r="BJ28" s="368">
        <f>SUM(BH28:BI28)</f>
        <v>135319</v>
      </c>
      <c r="BK28" s="368">
        <f>SUM(BH28:BI28)</f>
        <v>135319</v>
      </c>
      <c r="BL28" s="360">
        <v>-55937103</v>
      </c>
      <c r="BM28" s="360">
        <f t="shared" si="3"/>
        <v>10109</v>
      </c>
      <c r="BN28" s="360">
        <f t="shared" si="23"/>
        <v>8.252244897959184</v>
      </c>
      <c r="BO28" s="360">
        <f t="shared" si="4"/>
        <v>125210</v>
      </c>
      <c r="BP28" s="360">
        <f t="shared" si="24"/>
        <v>15172.841032743101</v>
      </c>
      <c r="BQ28" s="360">
        <f t="shared" si="5"/>
        <v>117</v>
      </c>
      <c r="BR28" s="360">
        <f t="shared" si="25"/>
        <v>1449.1611435354635</v>
      </c>
      <c r="BS28" s="360">
        <f t="shared" si="6"/>
        <v>247</v>
      </c>
      <c r="BT28" s="360">
        <f t="shared" si="7"/>
        <v>117</v>
      </c>
      <c r="BU28" s="360">
        <f t="shared" si="8"/>
        <v>812.9999999999999</v>
      </c>
      <c r="BV28" s="360">
        <f t="shared" si="9"/>
        <v>566</v>
      </c>
      <c r="BW28" s="360">
        <f t="shared" si="10"/>
        <v>10109</v>
      </c>
      <c r="BX28" s="360">
        <f t="shared" si="11"/>
        <v>125210.00000000001</v>
      </c>
      <c r="BY28" s="360">
        <f t="shared" si="12"/>
        <v>15172.841032743101</v>
      </c>
      <c r="BZ28" s="360">
        <f t="shared" si="13"/>
        <v>1449.1611435354635</v>
      </c>
      <c r="CA28" s="360">
        <f>SUMIF(NPR!A:A,A28,NPR!AQ:AQ)</f>
        <v>10109</v>
      </c>
      <c r="CB28" s="360">
        <f>SUMIF(NPR!A:A,A28,NPR!AR:AR)</f>
        <v>0</v>
      </c>
      <c r="CC28" s="360">
        <f t="shared" si="26"/>
        <v>117</v>
      </c>
      <c r="CD28" s="360">
        <f t="shared" si="27"/>
        <v>812.9999999999999</v>
      </c>
      <c r="CE28" s="362">
        <f t="shared" si="28"/>
        <v>0.14391143911439117</v>
      </c>
      <c r="CF28" s="363">
        <f t="shared" si="44"/>
        <v>2009.4550105229418</v>
      </c>
      <c r="CG28" s="363">
        <f t="shared" si="45"/>
        <v>17680.726324221843</v>
      </c>
      <c r="CH28" s="363">
        <f t="shared" si="29"/>
        <v>2009.4550105229418</v>
      </c>
      <c r="CI28" s="363">
        <f t="shared" si="30"/>
        <v>0</v>
      </c>
      <c r="CJ28" s="362">
        <f t="shared" si="31"/>
        <v>0.0013385655611106663</v>
      </c>
      <c r="CK28" s="362">
        <f t="shared" si="32"/>
        <v>3.972728928162584E-06</v>
      </c>
      <c r="CL28" s="362">
        <f t="shared" si="33"/>
        <v>7.435574533931006E-05</v>
      </c>
      <c r="CM28" s="362">
        <f t="shared" si="34"/>
        <v>1.1062446097621335E-05</v>
      </c>
      <c r="CN28" s="362" t="e">
        <f t="shared" si="35"/>
        <v>#DIV/0!</v>
      </c>
      <c r="CO28" s="371" t="s">
        <v>140</v>
      </c>
      <c r="CP28" s="360">
        <v>76</v>
      </c>
      <c r="CQ28" s="360"/>
      <c r="CR28" s="360"/>
      <c r="CS28" s="360"/>
      <c r="CT28" s="361">
        <f>SUM(CP28:CS28)</f>
        <v>76</v>
      </c>
      <c r="CU28" s="360">
        <v>55</v>
      </c>
      <c r="CV28" s="360"/>
      <c r="CW28" s="360"/>
      <c r="CX28" s="360"/>
      <c r="CY28" s="361">
        <f>SUM(CU28:CX28)</f>
        <v>55</v>
      </c>
      <c r="CZ28" s="360">
        <v>304</v>
      </c>
      <c r="DA28" s="360"/>
      <c r="DB28" s="360"/>
      <c r="DC28" s="360"/>
      <c r="DD28" s="361">
        <f>SUM(CZ28:DC28)</f>
        <v>304</v>
      </c>
      <c r="DE28" s="360">
        <f t="shared" si="36"/>
        <v>228</v>
      </c>
      <c r="DF28" s="360"/>
      <c r="DG28" s="360"/>
      <c r="DH28" s="360"/>
      <c r="DI28" s="360"/>
      <c r="DJ28" s="361">
        <f>SUM(DF28:DI28)</f>
        <v>0</v>
      </c>
      <c r="DK28" s="372">
        <f>AVERAGE(DK6:DK21,DK23,DK26,DK27)</f>
        <v>0.12282143489185494</v>
      </c>
      <c r="DL28" s="360">
        <f t="shared" si="40"/>
        <v>8867.398114678239</v>
      </c>
      <c r="DM28" s="360">
        <f t="shared" si="38"/>
        <v>0</v>
      </c>
    </row>
    <row r="29" spans="1:117" ht="12.75">
      <c r="A29" s="85" t="s">
        <v>26</v>
      </c>
      <c r="B29" s="86">
        <v>1005681</v>
      </c>
      <c r="C29" s="87" t="s">
        <v>50</v>
      </c>
      <c r="D29" s="357">
        <v>41548</v>
      </c>
      <c r="E29" s="357">
        <v>41912</v>
      </c>
      <c r="F29" s="358">
        <f t="shared" si="41"/>
        <v>365</v>
      </c>
      <c r="G29" s="369" t="s">
        <v>137</v>
      </c>
      <c r="H29" s="370" t="s">
        <v>425</v>
      </c>
      <c r="I29" s="371" t="str">
        <f>VLOOKUP(H29,'Parameters and Analysis'!$A$29:$B$36,2,FALSE)</f>
        <v>Exempt</v>
      </c>
      <c r="J29" s="88" t="s">
        <v>136</v>
      </c>
      <c r="K29" s="360">
        <v>17</v>
      </c>
      <c r="L29" s="360">
        <v>0</v>
      </c>
      <c r="M29" s="360">
        <v>0</v>
      </c>
      <c r="N29" s="360">
        <v>0</v>
      </c>
      <c r="O29" s="361">
        <f t="shared" si="42"/>
        <v>17</v>
      </c>
      <c r="P29" s="360">
        <v>0</v>
      </c>
      <c r="Q29" s="360">
        <v>0</v>
      </c>
      <c r="R29" s="360">
        <v>0</v>
      </c>
      <c r="S29" s="360">
        <v>476</v>
      </c>
      <c r="T29" s="360">
        <v>0</v>
      </c>
      <c r="U29" s="360">
        <v>0</v>
      </c>
      <c r="V29" s="360">
        <v>0</v>
      </c>
      <c r="W29" s="360">
        <v>0</v>
      </c>
      <c r="X29" s="360">
        <v>0</v>
      </c>
      <c r="Y29" s="360">
        <v>0</v>
      </c>
      <c r="Z29" s="360">
        <v>0</v>
      </c>
      <c r="AA29" s="360">
        <v>0</v>
      </c>
      <c r="AB29" s="361">
        <f t="shared" si="39"/>
        <v>476</v>
      </c>
      <c r="AC29" s="361">
        <f t="shared" si="18"/>
        <v>476</v>
      </c>
      <c r="AD29" s="360">
        <v>0</v>
      </c>
      <c r="AE29" s="360">
        <v>0</v>
      </c>
      <c r="AF29" s="360">
        <v>0</v>
      </c>
      <c r="AG29" s="360">
        <v>441</v>
      </c>
      <c r="AH29" s="360">
        <v>0</v>
      </c>
      <c r="AI29" s="360">
        <v>0</v>
      </c>
      <c r="AJ29" s="360">
        <v>0</v>
      </c>
      <c r="AK29" s="360">
        <v>0</v>
      </c>
      <c r="AL29" s="360">
        <v>0</v>
      </c>
      <c r="AM29" s="360">
        <v>0</v>
      </c>
      <c r="AN29" s="360">
        <v>0</v>
      </c>
      <c r="AO29" s="360">
        <v>0</v>
      </c>
      <c r="AP29" s="361">
        <f t="shared" si="19"/>
        <v>441</v>
      </c>
      <c r="AQ29" s="361">
        <f t="shared" si="20"/>
        <v>441</v>
      </c>
      <c r="AR29" s="360">
        <v>0</v>
      </c>
      <c r="AS29" s="360">
        <v>0</v>
      </c>
      <c r="AT29" s="360">
        <v>0</v>
      </c>
      <c r="AU29" s="360">
        <v>1479</v>
      </c>
      <c r="AV29" s="360">
        <v>0</v>
      </c>
      <c r="AW29" s="360">
        <v>0</v>
      </c>
      <c r="AX29" s="360">
        <v>0</v>
      </c>
      <c r="AY29" s="360">
        <v>0</v>
      </c>
      <c r="AZ29" s="360">
        <v>0</v>
      </c>
      <c r="BA29" s="360">
        <v>0</v>
      </c>
      <c r="BB29" s="360">
        <v>0</v>
      </c>
      <c r="BC29" s="360">
        <v>0</v>
      </c>
      <c r="BD29" s="361">
        <f t="shared" si="21"/>
        <v>1479</v>
      </c>
      <c r="BE29" s="361">
        <f t="shared" si="22"/>
        <v>1479</v>
      </c>
      <c r="BF29" s="361">
        <f t="shared" si="43"/>
        <v>1003</v>
      </c>
      <c r="BG29" s="361">
        <f t="shared" si="43"/>
        <v>1003</v>
      </c>
      <c r="BH29" s="360">
        <v>14790</v>
      </c>
      <c r="BI29" s="360">
        <v>159174</v>
      </c>
      <c r="BJ29" s="368">
        <f>SUM(BH29:BI29)</f>
        <v>173964</v>
      </c>
      <c r="BK29" s="368">
        <f>SUM(BH29:BI29)</f>
        <v>173964</v>
      </c>
      <c r="BL29" s="360">
        <v>-43780968</v>
      </c>
      <c r="BM29" s="360">
        <f t="shared" si="3"/>
        <v>14790</v>
      </c>
      <c r="BN29" s="360">
        <f t="shared" si="23"/>
        <v>10</v>
      </c>
      <c r="BO29" s="360">
        <f t="shared" si="4"/>
        <v>159174</v>
      </c>
      <c r="BP29" s="360">
        <f t="shared" si="24"/>
        <v>15917.4</v>
      </c>
      <c r="BQ29" s="360">
        <f t="shared" si="5"/>
        <v>441</v>
      </c>
      <c r="BR29" s="360">
        <f t="shared" si="25"/>
        <v>4746.16186612576</v>
      </c>
      <c r="BS29" s="360">
        <f t="shared" si="6"/>
        <v>476</v>
      </c>
      <c r="BT29" s="360">
        <f t="shared" si="7"/>
        <v>441</v>
      </c>
      <c r="BU29" s="360">
        <f t="shared" si="8"/>
        <v>1479</v>
      </c>
      <c r="BV29" s="360">
        <f t="shared" si="9"/>
        <v>1003</v>
      </c>
      <c r="BW29" s="360">
        <f t="shared" si="10"/>
        <v>14790</v>
      </c>
      <c r="BX29" s="360">
        <f t="shared" si="11"/>
        <v>159174</v>
      </c>
      <c r="BY29" s="360">
        <f t="shared" si="12"/>
        <v>15917.400000000001</v>
      </c>
      <c r="BZ29" s="360">
        <f t="shared" si="13"/>
        <v>4746.16186612576</v>
      </c>
      <c r="CA29" s="360">
        <f>SUMIF(NPR!A:A,A29,NPR!AQ:AQ)</f>
        <v>14790</v>
      </c>
      <c r="CB29" s="360">
        <f>SUMIF(NPR!A:A,A29,NPR!AR:AR)</f>
        <v>0</v>
      </c>
      <c r="CC29" s="360">
        <f t="shared" si="26"/>
        <v>441</v>
      </c>
      <c r="CD29" s="360">
        <f t="shared" si="27"/>
        <v>1479</v>
      </c>
      <c r="CE29" s="362">
        <f t="shared" si="28"/>
        <v>0.29817444219066935</v>
      </c>
      <c r="CF29" s="363">
        <f t="shared" si="44"/>
        <v>2939.9386295018608</v>
      </c>
      <c r="CG29" s="363">
        <f t="shared" si="45"/>
        <v>22476.73454142391</v>
      </c>
      <c r="CH29" s="363">
        <f t="shared" si="29"/>
        <v>2939.9386295018608</v>
      </c>
      <c r="CI29" s="363">
        <f t="shared" si="30"/>
        <v>0</v>
      </c>
      <c r="CJ29" s="362">
        <f t="shared" si="31"/>
        <v>0.0050453624995709725</v>
      </c>
      <c r="CK29" s="362">
        <f t="shared" si="32"/>
        <v>5.812311885203741E-06</v>
      </c>
      <c r="CL29" s="362">
        <f t="shared" si="33"/>
        <v>9.452520891813226E-05</v>
      </c>
      <c r="CM29" s="362">
        <f t="shared" si="34"/>
        <v>1.61849419115461E-05</v>
      </c>
      <c r="CN29" s="362" t="e">
        <f t="shared" si="35"/>
        <v>#DIV/0!</v>
      </c>
      <c r="CO29" s="371" t="s">
        <v>139</v>
      </c>
      <c r="CP29" s="360">
        <v>131</v>
      </c>
      <c r="CQ29" s="360"/>
      <c r="CR29" s="360"/>
      <c r="CS29" s="360"/>
      <c r="CT29" s="361">
        <f>SUM(CP29:CS29)</f>
        <v>131</v>
      </c>
      <c r="CU29" s="360">
        <v>212</v>
      </c>
      <c r="CV29" s="360"/>
      <c r="CW29" s="360"/>
      <c r="CX29" s="360"/>
      <c r="CY29" s="361">
        <f>SUM(CU29:CX29)</f>
        <v>212</v>
      </c>
      <c r="CZ29" s="360">
        <v>544</v>
      </c>
      <c r="DA29" s="360"/>
      <c r="DB29" s="360"/>
      <c r="DC29" s="360"/>
      <c r="DD29" s="361">
        <f>SUM(CZ29:DC29)</f>
        <v>544</v>
      </c>
      <c r="DE29" s="360">
        <f t="shared" si="36"/>
        <v>413</v>
      </c>
      <c r="DF29" s="360"/>
      <c r="DG29" s="360"/>
      <c r="DH29" s="360"/>
      <c r="DI29" s="360"/>
      <c r="DJ29" s="361">
        <f>SUM(DF29:DI29)</f>
        <v>0</v>
      </c>
      <c r="DK29" s="372">
        <f>AVERAGE(DK6:DK21,DK23,DK26,DK27)</f>
        <v>0.12282143489185494</v>
      </c>
      <c r="DL29" s="360">
        <f t="shared" si="40"/>
        <v>12973.470977949466</v>
      </c>
      <c r="DM29" s="360">
        <f t="shared" si="38"/>
        <v>0</v>
      </c>
    </row>
    <row r="30" spans="1:117" ht="12.75">
      <c r="A30" s="85" t="s">
        <v>23</v>
      </c>
      <c r="B30" s="86">
        <v>1005774</v>
      </c>
      <c r="C30" s="87" t="s">
        <v>47</v>
      </c>
      <c r="D30" s="357">
        <v>41548</v>
      </c>
      <c r="E30" s="357">
        <v>41912</v>
      </c>
      <c r="F30" s="358">
        <f t="shared" si="41"/>
        <v>365</v>
      </c>
      <c r="G30" s="369" t="s">
        <v>137</v>
      </c>
      <c r="H30" s="370" t="s">
        <v>425</v>
      </c>
      <c r="I30" s="371" t="str">
        <f>VLOOKUP(H30,'Parameters and Analysis'!$A$29:$B$36,2,FALSE)</f>
        <v>Exempt</v>
      </c>
      <c r="J30" s="88" t="s">
        <v>136</v>
      </c>
      <c r="K30" s="360">
        <v>20</v>
      </c>
      <c r="L30" s="360">
        <v>0</v>
      </c>
      <c r="M30" s="360">
        <v>0</v>
      </c>
      <c r="N30" s="360">
        <v>0</v>
      </c>
      <c r="O30" s="361">
        <f t="shared" si="42"/>
        <v>20</v>
      </c>
      <c r="P30" s="360">
        <v>0</v>
      </c>
      <c r="Q30" s="360">
        <v>0</v>
      </c>
      <c r="R30" s="360">
        <v>0</v>
      </c>
      <c r="S30" s="360">
        <v>282</v>
      </c>
      <c r="T30" s="360">
        <v>0</v>
      </c>
      <c r="U30" s="360">
        <v>0</v>
      </c>
      <c r="V30" s="360">
        <v>0</v>
      </c>
      <c r="W30" s="360">
        <v>0</v>
      </c>
      <c r="X30" s="360">
        <v>0</v>
      </c>
      <c r="Y30" s="360">
        <v>0</v>
      </c>
      <c r="Z30" s="360">
        <v>0</v>
      </c>
      <c r="AA30" s="360">
        <v>0</v>
      </c>
      <c r="AB30" s="361">
        <f t="shared" si="39"/>
        <v>282</v>
      </c>
      <c r="AC30" s="361">
        <f t="shared" si="18"/>
        <v>282</v>
      </c>
      <c r="AD30" s="360">
        <v>0</v>
      </c>
      <c r="AE30" s="360">
        <v>0</v>
      </c>
      <c r="AF30" s="360">
        <v>0</v>
      </c>
      <c r="AG30" s="360">
        <v>0</v>
      </c>
      <c r="AH30" s="360">
        <v>0</v>
      </c>
      <c r="AI30" s="360">
        <v>0</v>
      </c>
      <c r="AJ30" s="360">
        <v>0</v>
      </c>
      <c r="AK30" s="360">
        <v>0</v>
      </c>
      <c r="AL30" s="360">
        <v>0</v>
      </c>
      <c r="AM30" s="360">
        <v>0</v>
      </c>
      <c r="AN30" s="360">
        <v>0</v>
      </c>
      <c r="AO30" s="360">
        <v>0</v>
      </c>
      <c r="AP30" s="361">
        <f t="shared" si="19"/>
        <v>0</v>
      </c>
      <c r="AQ30" s="361">
        <f t="shared" si="20"/>
        <v>0</v>
      </c>
      <c r="AR30" s="360">
        <v>0</v>
      </c>
      <c r="AS30" s="360">
        <v>0</v>
      </c>
      <c r="AT30" s="360">
        <v>0</v>
      </c>
      <c r="AU30" s="360">
        <v>819</v>
      </c>
      <c r="AV30" s="360">
        <v>0</v>
      </c>
      <c r="AW30" s="360">
        <v>0</v>
      </c>
      <c r="AX30" s="360">
        <v>0</v>
      </c>
      <c r="AY30" s="360">
        <v>0</v>
      </c>
      <c r="AZ30" s="360">
        <v>0</v>
      </c>
      <c r="BA30" s="360">
        <v>0</v>
      </c>
      <c r="BB30" s="360">
        <v>0</v>
      </c>
      <c r="BC30" s="360">
        <v>0</v>
      </c>
      <c r="BD30" s="361">
        <f t="shared" si="21"/>
        <v>819</v>
      </c>
      <c r="BE30" s="361">
        <f t="shared" si="22"/>
        <v>819</v>
      </c>
      <c r="BF30" s="361">
        <f t="shared" si="43"/>
        <v>537</v>
      </c>
      <c r="BG30" s="361">
        <f t="shared" si="43"/>
        <v>537</v>
      </c>
      <c r="BH30" s="360">
        <v>6552</v>
      </c>
      <c r="BI30" s="360">
        <v>77210</v>
      </c>
      <c r="BJ30" s="368">
        <f>SUM(BH30:BI30)</f>
        <v>83762</v>
      </c>
      <c r="BK30" s="368">
        <f>SUM(BH30:BI30)</f>
        <v>83762</v>
      </c>
      <c r="BL30" s="360">
        <v>-41637750</v>
      </c>
      <c r="BM30" s="360">
        <f t="shared" si="3"/>
        <v>6552</v>
      </c>
      <c r="BN30" s="360">
        <f t="shared" si="23"/>
        <v>8</v>
      </c>
      <c r="BO30" s="360">
        <f t="shared" si="4"/>
        <v>77210</v>
      </c>
      <c r="BP30" s="360">
        <f t="shared" si="24"/>
        <v>9651.25</v>
      </c>
      <c r="BQ30" s="360">
        <f t="shared" si="5"/>
        <v>0</v>
      </c>
      <c r="BR30" s="360">
        <f t="shared" si="25"/>
        <v>0</v>
      </c>
      <c r="BS30" s="360">
        <f t="shared" si="6"/>
        <v>282</v>
      </c>
      <c r="BT30" s="360">
        <f t="shared" si="7"/>
        <v>0</v>
      </c>
      <c r="BU30" s="360">
        <f t="shared" si="8"/>
        <v>819</v>
      </c>
      <c r="BV30" s="360">
        <f t="shared" si="9"/>
        <v>537</v>
      </c>
      <c r="BW30" s="360">
        <f t="shared" si="10"/>
        <v>6552</v>
      </c>
      <c r="BX30" s="360">
        <f t="shared" si="11"/>
        <v>77210</v>
      </c>
      <c r="BY30" s="360">
        <f t="shared" si="12"/>
        <v>9651.25</v>
      </c>
      <c r="BZ30" s="360">
        <f t="shared" si="13"/>
        <v>0</v>
      </c>
      <c r="CA30" s="360">
        <f>SUMIF(NPR!A:A,A30,NPR!AQ:AQ)</f>
        <v>6552</v>
      </c>
      <c r="CB30" s="360">
        <f>SUMIF(NPR!A:A,A30,NPR!AR:AR)</f>
        <v>0</v>
      </c>
      <c r="CC30" s="360">
        <f t="shared" si="26"/>
        <v>0</v>
      </c>
      <c r="CD30" s="360">
        <f t="shared" si="27"/>
        <v>819</v>
      </c>
      <c r="CE30" s="362">
        <f t="shared" si="28"/>
        <v>0</v>
      </c>
      <c r="CF30" s="363">
        <f t="shared" si="44"/>
        <v>1302.3987762336844</v>
      </c>
      <c r="CG30" s="363">
        <f t="shared" si="45"/>
        <v>10902.714475626295</v>
      </c>
      <c r="CH30" s="363">
        <f t="shared" si="29"/>
        <v>1302.3987762336844</v>
      </c>
      <c r="CI30" s="363">
        <f t="shared" si="30"/>
        <v>0</v>
      </c>
      <c r="CJ30" s="362">
        <f t="shared" si="31"/>
        <v>0</v>
      </c>
      <c r="CK30" s="362">
        <f t="shared" si="32"/>
        <v>2.574865954824538E-06</v>
      </c>
      <c r="CL30" s="362">
        <f t="shared" si="33"/>
        <v>4.5851027055731406E-05</v>
      </c>
      <c r="CM30" s="362">
        <f t="shared" si="34"/>
        <v>7.169962096311701E-06</v>
      </c>
      <c r="CN30" s="362" t="e">
        <f t="shared" si="35"/>
        <v>#DIV/0!</v>
      </c>
      <c r="CO30" s="371" t="s">
        <v>140</v>
      </c>
      <c r="CP30" s="360">
        <v>75</v>
      </c>
      <c r="CQ30" s="360"/>
      <c r="CR30" s="360"/>
      <c r="CS30" s="360"/>
      <c r="CT30" s="361">
        <f>SUM(CP30:CS30)</f>
        <v>75</v>
      </c>
      <c r="CU30" s="360">
        <v>0</v>
      </c>
      <c r="CV30" s="360"/>
      <c r="CW30" s="360"/>
      <c r="CX30" s="360"/>
      <c r="CY30" s="361">
        <f>SUM(CU30:CX30)</f>
        <v>0</v>
      </c>
      <c r="CZ30" s="360">
        <v>237</v>
      </c>
      <c r="DA30" s="360"/>
      <c r="DB30" s="360"/>
      <c r="DC30" s="360"/>
      <c r="DD30" s="361">
        <f>SUM(CZ30:DC30)</f>
        <v>237</v>
      </c>
      <c r="DE30" s="360">
        <f t="shared" si="36"/>
        <v>162</v>
      </c>
      <c r="DF30" s="360"/>
      <c r="DG30" s="360"/>
      <c r="DH30" s="360"/>
      <c r="DI30" s="360"/>
      <c r="DJ30" s="361">
        <f>SUM(DF30:DI30)</f>
        <v>0</v>
      </c>
      <c r="DK30" s="372">
        <f>AVERAGE(DK6:DK21,DK23,DK26,DK27)</f>
        <v>0.12282143489185494</v>
      </c>
      <c r="DL30" s="360">
        <f t="shared" si="40"/>
        <v>5747.2739585885665</v>
      </c>
      <c r="DM30" s="360">
        <f t="shared" si="38"/>
        <v>0</v>
      </c>
    </row>
    <row r="31" spans="3:114" ht="12.75">
      <c r="C31" s="374" t="s">
        <v>275</v>
      </c>
      <c r="K31" s="375">
        <f>SUM(K6:K30)</f>
        <v>1454</v>
      </c>
      <c r="L31" s="375">
        <f aca="true" t="shared" si="46" ref="L31:BZ31">SUM(L6:L30)</f>
        <v>12</v>
      </c>
      <c r="M31" s="375">
        <f t="shared" si="46"/>
        <v>20</v>
      </c>
      <c r="N31" s="375">
        <f t="shared" si="46"/>
        <v>0</v>
      </c>
      <c r="O31" s="375">
        <f t="shared" si="46"/>
        <v>1486</v>
      </c>
      <c r="P31" s="375">
        <f t="shared" si="46"/>
        <v>373</v>
      </c>
      <c r="Q31" s="375">
        <f t="shared" si="46"/>
        <v>0</v>
      </c>
      <c r="R31" s="375">
        <f t="shared" si="46"/>
        <v>15</v>
      </c>
      <c r="S31" s="375">
        <f>SUM(S6:S30)</f>
        <v>83595</v>
      </c>
      <c r="T31" s="375">
        <f t="shared" si="46"/>
        <v>785</v>
      </c>
      <c r="U31" s="375">
        <f t="shared" si="46"/>
        <v>2193</v>
      </c>
      <c r="V31" s="375">
        <f t="shared" si="46"/>
        <v>0</v>
      </c>
      <c r="W31" s="375">
        <f t="shared" si="46"/>
        <v>0</v>
      </c>
      <c r="X31" s="375">
        <f t="shared" si="46"/>
        <v>0</v>
      </c>
      <c r="Y31" s="375">
        <f t="shared" si="46"/>
        <v>0</v>
      </c>
      <c r="Z31" s="375">
        <f t="shared" si="46"/>
        <v>5347</v>
      </c>
      <c r="AA31" s="375">
        <f t="shared" si="46"/>
        <v>0</v>
      </c>
      <c r="AB31" s="375">
        <f t="shared" si="46"/>
        <v>81614</v>
      </c>
      <c r="AC31" s="375">
        <f t="shared" si="46"/>
        <v>86961</v>
      </c>
      <c r="AD31" s="375">
        <f t="shared" si="46"/>
        <v>7535</v>
      </c>
      <c r="AE31" s="375">
        <f t="shared" si="46"/>
        <v>0</v>
      </c>
      <c r="AF31" s="375">
        <f t="shared" si="46"/>
        <v>0</v>
      </c>
      <c r="AG31" s="375">
        <f t="shared" si="46"/>
        <v>87041</v>
      </c>
      <c r="AH31" s="375">
        <f t="shared" si="46"/>
        <v>730</v>
      </c>
      <c r="AI31" s="375">
        <f t="shared" si="46"/>
        <v>365</v>
      </c>
      <c r="AJ31" s="375">
        <f t="shared" si="46"/>
        <v>0</v>
      </c>
      <c r="AK31" s="375">
        <f t="shared" si="46"/>
        <v>0</v>
      </c>
      <c r="AL31" s="375">
        <f t="shared" si="46"/>
        <v>0</v>
      </c>
      <c r="AM31" s="375">
        <f t="shared" si="46"/>
        <v>503</v>
      </c>
      <c r="AN31" s="375">
        <f t="shared" si="46"/>
        <v>583</v>
      </c>
      <c r="AO31" s="375">
        <f t="shared" si="46"/>
        <v>146</v>
      </c>
      <c r="AP31" s="375">
        <f t="shared" si="46"/>
        <v>87407</v>
      </c>
      <c r="AQ31" s="375">
        <f t="shared" si="46"/>
        <v>88639</v>
      </c>
      <c r="AR31" s="375">
        <f t="shared" si="46"/>
        <v>0</v>
      </c>
      <c r="AS31" s="375">
        <f t="shared" si="46"/>
        <v>0</v>
      </c>
      <c r="AT31" s="375">
        <f t="shared" si="46"/>
        <v>0</v>
      </c>
      <c r="AU31" s="375">
        <f t="shared" si="46"/>
        <v>308136</v>
      </c>
      <c r="AV31" s="375">
        <f t="shared" si="46"/>
        <v>2707</v>
      </c>
      <c r="AW31" s="375">
        <f t="shared" si="46"/>
        <v>4798</v>
      </c>
      <c r="AX31" s="375">
        <f t="shared" si="46"/>
        <v>0</v>
      </c>
      <c r="AY31" s="375">
        <f t="shared" si="46"/>
        <v>0</v>
      </c>
      <c r="AZ31" s="375">
        <f t="shared" si="46"/>
        <v>0</v>
      </c>
      <c r="BA31" s="375">
        <f t="shared" si="46"/>
        <v>2970</v>
      </c>
      <c r="BB31" s="375">
        <f t="shared" si="46"/>
        <v>6302</v>
      </c>
      <c r="BC31" s="375">
        <f t="shared" si="46"/>
        <v>3150</v>
      </c>
      <c r="BD31" s="375">
        <f t="shared" si="46"/>
        <v>306189</v>
      </c>
      <c r="BE31" s="375">
        <f t="shared" si="46"/>
        <v>318611</v>
      </c>
      <c r="BF31" s="375">
        <f t="shared" si="46"/>
        <v>224575</v>
      </c>
      <c r="BG31" s="375">
        <f t="shared" si="46"/>
        <v>231650</v>
      </c>
      <c r="BH31" s="375">
        <f t="shared" si="46"/>
        <v>2544598482</v>
      </c>
      <c r="BI31" s="375">
        <f t="shared" si="46"/>
        <v>1683931745</v>
      </c>
      <c r="BJ31" s="375">
        <f t="shared" si="46"/>
        <v>4362546979</v>
      </c>
      <c r="BK31" s="375">
        <f t="shared" si="46"/>
        <v>1903733736</v>
      </c>
      <c r="BL31" s="375">
        <f t="shared" si="46"/>
        <v>-621740164</v>
      </c>
      <c r="BM31" s="375">
        <f t="shared" si="46"/>
        <v>2544598482</v>
      </c>
      <c r="BN31" s="375">
        <f t="shared" si="46"/>
        <v>197245.56851031884</v>
      </c>
      <c r="BO31" s="375">
        <f t="shared" si="46"/>
        <v>1683931745</v>
      </c>
      <c r="BP31" s="375">
        <f t="shared" si="46"/>
        <v>423858.90076800546</v>
      </c>
      <c r="BQ31" s="375">
        <f t="shared" si="46"/>
        <v>88639</v>
      </c>
      <c r="BR31" s="375">
        <f t="shared" si="46"/>
        <v>138997.76502351987</v>
      </c>
      <c r="BS31" s="375">
        <f t="shared" si="46"/>
        <v>81614</v>
      </c>
      <c r="BT31" s="375">
        <f t="shared" si="46"/>
        <v>87407</v>
      </c>
      <c r="BU31" s="375">
        <f t="shared" si="46"/>
        <v>306189</v>
      </c>
      <c r="BV31" s="375">
        <f t="shared" si="46"/>
        <v>224575</v>
      </c>
      <c r="BW31" s="375">
        <f t="shared" si="46"/>
        <v>2544598482</v>
      </c>
      <c r="BX31" s="375">
        <f t="shared" si="46"/>
        <v>1683931745</v>
      </c>
      <c r="BY31" s="375">
        <f t="shared" si="46"/>
        <v>423858.90076800546</v>
      </c>
      <c r="BZ31" s="375">
        <f t="shared" si="46"/>
        <v>138997.76502351987</v>
      </c>
      <c r="CA31" s="375">
        <f aca="true" t="shared" si="47" ref="CA31:CN31">SUM(CA6:CA30)</f>
        <v>932000913.850765</v>
      </c>
      <c r="CB31" s="375">
        <f t="shared" si="47"/>
        <v>0</v>
      </c>
      <c r="CC31" s="375">
        <f t="shared" si="47"/>
        <v>87407</v>
      </c>
      <c r="CD31" s="375">
        <f t="shared" si="47"/>
        <v>306189</v>
      </c>
      <c r="CE31" s="375"/>
      <c r="CF31" s="376">
        <f t="shared" si="47"/>
        <v>505812263.27272457</v>
      </c>
      <c r="CG31" s="376">
        <f t="shared" si="47"/>
        <v>237785610.82992032</v>
      </c>
      <c r="CH31" s="376">
        <f t="shared" si="47"/>
        <v>181646535.7471905</v>
      </c>
      <c r="CI31" s="376">
        <f t="shared" si="47"/>
        <v>0</v>
      </c>
      <c r="CJ31" s="377">
        <f t="shared" si="47"/>
        <v>1</v>
      </c>
      <c r="CK31" s="377">
        <f t="shared" si="47"/>
        <v>1</v>
      </c>
      <c r="CL31" s="377">
        <f t="shared" si="47"/>
        <v>1</v>
      </c>
      <c r="CM31" s="377">
        <f t="shared" si="47"/>
        <v>0.9999999999999994</v>
      </c>
      <c r="CN31" s="377" t="e">
        <f t="shared" si="47"/>
        <v>#DIV/0!</v>
      </c>
      <c r="CP31" s="375">
        <f>SUM(CP6:CP30)</f>
        <v>13491</v>
      </c>
      <c r="CQ31" s="375">
        <f>SUM(CQ6:CQ30)</f>
        <v>73</v>
      </c>
      <c r="CR31" s="375">
        <f>SUM(CR6:CR30)</f>
        <v>173</v>
      </c>
      <c r="CS31" s="375">
        <f>SUM(CS6:CS30)</f>
        <v>0</v>
      </c>
      <c r="CT31" s="375">
        <f>SUM(CT6:CT30)</f>
        <v>13737</v>
      </c>
      <c r="CU31" s="375">
        <f>SUM(CU6:CU30)</f>
        <v>13892</v>
      </c>
      <c r="CV31" s="375">
        <f>SUM(CV6:CV30)</f>
        <v>94</v>
      </c>
      <c r="CW31" s="375">
        <f>SUM(CW6:CW30)</f>
        <v>15</v>
      </c>
      <c r="CX31" s="375">
        <f>SUM(CX6:CX30)</f>
        <v>0</v>
      </c>
      <c r="CY31" s="375">
        <f>SUM(CY6:CY30)</f>
        <v>14001</v>
      </c>
      <c r="CZ31" s="375">
        <f>SUM(CZ6:CZ30)</f>
        <v>52307</v>
      </c>
      <c r="DA31" s="375">
        <f>SUM(DA6:DA30)</f>
        <v>392</v>
      </c>
      <c r="DB31" s="375">
        <f>SUM(DB6:DB30)</f>
        <v>360</v>
      </c>
      <c r="DC31" s="375">
        <f>SUM(DC6:DC30)</f>
        <v>0</v>
      </c>
      <c r="DD31" s="375">
        <f>SUM(DD6:DD30)</f>
        <v>53059</v>
      </c>
      <c r="DE31" s="375">
        <f>SUM(DE6:DE30)</f>
        <v>39322</v>
      </c>
      <c r="DF31" s="375">
        <f>SUM(DF6:DF30)</f>
        <v>782481195</v>
      </c>
      <c r="DG31" s="375">
        <f>SUM(DG6:DG30)</f>
        <v>2657865</v>
      </c>
      <c r="DH31" s="375">
        <f>SUM(DH6:DH30)</f>
        <v>11873663</v>
      </c>
      <c r="DI31" s="375">
        <f>SUM(DI6:DI30)</f>
        <v>0</v>
      </c>
      <c r="DJ31" s="375">
        <f>SUM(DJ6:DJ30)</f>
        <v>797012723</v>
      </c>
    </row>
    <row r="32" spans="1:116" ht="12.75">
      <c r="A32" s="378" t="s">
        <v>332</v>
      </c>
      <c r="B32" s="379">
        <v>1001111</v>
      </c>
      <c r="C32" s="380" t="s">
        <v>339</v>
      </c>
      <c r="D32" s="381">
        <v>41456</v>
      </c>
      <c r="E32" s="381">
        <v>41820</v>
      </c>
      <c r="F32" s="382">
        <f>IF(ISERROR(E32-D32+1),0,(E32-D32+1))</f>
        <v>365</v>
      </c>
      <c r="G32" s="383" t="s">
        <v>116</v>
      </c>
      <c r="H32" s="383" t="s">
        <v>53</v>
      </c>
      <c r="I32" s="384" t="str">
        <f>VLOOKUP(H32,'Parameters and Analysis'!$A$29:$B$36,2,FALSE)</f>
        <v>Included</v>
      </c>
      <c r="J32" s="385"/>
      <c r="K32" s="385"/>
      <c r="L32" s="385"/>
      <c r="M32" s="385"/>
      <c r="N32" s="385"/>
      <c r="O32" s="385">
        <v>120</v>
      </c>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c r="BO32" s="385"/>
      <c r="BP32" s="385"/>
      <c r="BQ32" s="385"/>
      <c r="BR32" s="385"/>
      <c r="BS32" s="385"/>
      <c r="BT32" s="385">
        <v>11000</v>
      </c>
      <c r="BU32" s="386">
        <v>45000</v>
      </c>
      <c r="BV32" s="386">
        <v>30000</v>
      </c>
      <c r="BW32" s="386">
        <v>750000000</v>
      </c>
      <c r="BX32" s="386">
        <v>325000000</v>
      </c>
      <c r="BY32" s="386">
        <v>24000</v>
      </c>
      <c r="BZ32" s="386">
        <v>7500</v>
      </c>
      <c r="CA32" s="386">
        <v>265000000</v>
      </c>
      <c r="CB32" s="386">
        <v>145000000</v>
      </c>
      <c r="CC32" s="386">
        <f>BT32</f>
        <v>11000</v>
      </c>
      <c r="CD32" s="386">
        <f>BU32</f>
        <v>45000</v>
      </c>
      <c r="CE32" s="385">
        <f t="shared" si="28"/>
        <v>0.24444444444444444</v>
      </c>
      <c r="CF32" s="386">
        <v>150000000</v>
      </c>
      <c r="CG32" s="386">
        <v>75000000</v>
      </c>
      <c r="CH32" s="386">
        <f>_xlfn.IFERROR(CA32*(CF32/BW32),0)</f>
        <v>53000000</v>
      </c>
      <c r="CI32" s="386">
        <f>_xlfn.IFERROR(CB32*(CG32/BX32),0)</f>
        <v>33461538.461538464</v>
      </c>
      <c r="CJ32" s="385">
        <f>CC32/SUM($CC$6:$CC$30)</f>
        <v>0.1258480442069857</v>
      </c>
      <c r="CK32" s="385">
        <f>CF32/SUM($CF$6:$CF$30)</f>
        <v>0.2965527150912962</v>
      </c>
      <c r="CL32" s="385">
        <f>CG32/SUM($CG$6:$CG$30)</f>
        <v>0.31541017027159335</v>
      </c>
      <c r="CM32" s="385">
        <f>CH32/SUM($CH$6:$CH$30)</f>
        <v>0.2917754516043378</v>
      </c>
      <c r="CN32" s="385" t="e">
        <f>CI32/SUM($CI$6:$CI$30)</f>
        <v>#DIV/0!</v>
      </c>
      <c r="CP32" s="385"/>
      <c r="CQ32" s="385"/>
      <c r="CR32" s="385"/>
      <c r="CS32" s="385"/>
      <c r="CT32" s="385">
        <v>1200</v>
      </c>
      <c r="CU32" s="385"/>
      <c r="CV32" s="385"/>
      <c r="CW32" s="385"/>
      <c r="CX32" s="385"/>
      <c r="CY32" s="385">
        <v>1100</v>
      </c>
      <c r="CZ32" s="385"/>
      <c r="DA32" s="385"/>
      <c r="DB32" s="385"/>
      <c r="DC32" s="385"/>
      <c r="DD32" s="385">
        <v>2000</v>
      </c>
      <c r="DE32" s="385">
        <f t="shared" si="36"/>
        <v>800</v>
      </c>
      <c r="DL32" s="386">
        <v>190000000</v>
      </c>
    </row>
    <row r="33" spans="1:116" ht="12.75">
      <c r="A33" s="378" t="s">
        <v>333</v>
      </c>
      <c r="B33" s="379">
        <v>1002222</v>
      </c>
      <c r="C33" s="380" t="s">
        <v>340</v>
      </c>
      <c r="D33" s="381">
        <v>41456</v>
      </c>
      <c r="E33" s="381">
        <v>41820</v>
      </c>
      <c r="F33" s="382">
        <f>IF(ISERROR(E33-D33+1),0,(E33-D33+1))</f>
        <v>365</v>
      </c>
      <c r="G33" s="383" t="s">
        <v>116</v>
      </c>
      <c r="H33" s="383" t="s">
        <v>53</v>
      </c>
      <c r="I33" s="384" t="str">
        <f>VLOOKUP(H33,'Parameters and Analysis'!$A$29:$B$36,2,FALSE)</f>
        <v>Included</v>
      </c>
      <c r="J33" s="385"/>
      <c r="K33" s="385"/>
      <c r="L33" s="385"/>
      <c r="M33" s="385"/>
      <c r="N33" s="385"/>
      <c r="O33" s="385">
        <v>70</v>
      </c>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c r="BK33" s="385"/>
      <c r="BL33" s="385"/>
      <c r="BM33" s="385"/>
      <c r="BN33" s="385"/>
      <c r="BO33" s="385"/>
      <c r="BP33" s="385"/>
      <c r="BQ33" s="385"/>
      <c r="BR33" s="385"/>
      <c r="BS33" s="385"/>
      <c r="BT33" s="385">
        <v>2500</v>
      </c>
      <c r="BU33" s="386">
        <v>10000</v>
      </c>
      <c r="BV33" s="386">
        <v>8000</v>
      </c>
      <c r="BW33" s="386">
        <v>85000000</v>
      </c>
      <c r="BX33" s="386">
        <v>47500000</v>
      </c>
      <c r="BY33" s="386">
        <v>5500</v>
      </c>
      <c r="BZ33" s="386">
        <v>1750</v>
      </c>
      <c r="CA33" s="386">
        <v>23000000</v>
      </c>
      <c r="CB33" s="386">
        <v>18000000</v>
      </c>
      <c r="CC33" s="386">
        <f>BT33</f>
        <v>2500</v>
      </c>
      <c r="CD33" s="386">
        <f>BU33</f>
        <v>10000</v>
      </c>
      <c r="CE33" s="385">
        <f t="shared" si="28"/>
        <v>0.25</v>
      </c>
      <c r="CF33" s="386">
        <v>12000000</v>
      </c>
      <c r="CG33" s="386">
        <v>5500000</v>
      </c>
      <c r="CH33" s="386">
        <f>_xlfn.IFERROR(CA33*(CF33/BW33),0)</f>
        <v>3247058.8235294116</v>
      </c>
      <c r="CI33" s="386">
        <f>_xlfn.IFERROR(CB33*(CG33/BX33),0)</f>
        <v>2084210.5263157894</v>
      </c>
      <c r="CJ33" s="385">
        <f>CC33/SUM($CC$6:$CC$30)</f>
        <v>0.028601828228860388</v>
      </c>
      <c r="CK33" s="385">
        <f>CF33/SUM($CF$6:$CF$30)</f>
        <v>0.023724217207303697</v>
      </c>
      <c r="CL33" s="385">
        <f>CG33/SUM($CG$6:$CG$30)</f>
        <v>0.023130079153250178</v>
      </c>
      <c r="CM33" s="385">
        <f>CH33/SUM($CH$6:$CH$30)</f>
        <v>0.01787569914379517</v>
      </c>
      <c r="CN33" s="385" t="e">
        <f>CI33/SUM($CI$6:$CI$30)</f>
        <v>#DIV/0!</v>
      </c>
      <c r="CP33" s="385"/>
      <c r="CQ33" s="385"/>
      <c r="CR33" s="385"/>
      <c r="CS33" s="385"/>
      <c r="CT33" s="385">
        <v>700</v>
      </c>
      <c r="CU33" s="385"/>
      <c r="CV33" s="385"/>
      <c r="CW33" s="385"/>
      <c r="CX33" s="385"/>
      <c r="CY33" s="385">
        <v>600</v>
      </c>
      <c r="CZ33" s="385"/>
      <c r="DA33" s="385"/>
      <c r="DB33" s="385"/>
      <c r="DC33" s="385"/>
      <c r="DD33" s="385">
        <v>1200</v>
      </c>
      <c r="DE33" s="385">
        <f t="shared" si="36"/>
        <v>500</v>
      </c>
      <c r="DL33" s="386">
        <v>16000000</v>
      </c>
    </row>
    <row r="34" spans="1:116" ht="12.75">
      <c r="A34" s="378" t="s">
        <v>334</v>
      </c>
      <c r="B34" s="379">
        <v>1003333</v>
      </c>
      <c r="C34" s="380" t="s">
        <v>341</v>
      </c>
      <c r="D34" s="381">
        <v>41456</v>
      </c>
      <c r="E34" s="381">
        <v>41820</v>
      </c>
      <c r="F34" s="382">
        <f>IF(ISERROR(E34-D34+1),0,(E34-D34+1))</f>
        <v>365</v>
      </c>
      <c r="G34" s="383" t="s">
        <v>117</v>
      </c>
      <c r="H34" s="383" t="s">
        <v>55</v>
      </c>
      <c r="I34" s="384" t="str">
        <f>VLOOKUP(H34,'Parameters and Analysis'!$A$29:$B$36,2,FALSE)</f>
        <v>Included</v>
      </c>
      <c r="J34" s="385"/>
      <c r="K34" s="385"/>
      <c r="L34" s="385"/>
      <c r="M34" s="385"/>
      <c r="N34" s="385"/>
      <c r="O34" s="385">
        <v>5</v>
      </c>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c r="BK34" s="385"/>
      <c r="BL34" s="385"/>
      <c r="BM34" s="385"/>
      <c r="BN34" s="385"/>
      <c r="BO34" s="385"/>
      <c r="BP34" s="385"/>
      <c r="BQ34" s="385"/>
      <c r="BR34" s="385"/>
      <c r="BS34" s="385"/>
      <c r="BT34" s="385">
        <v>85</v>
      </c>
      <c r="BU34" s="386">
        <v>300</v>
      </c>
      <c r="BV34" s="386">
        <v>225</v>
      </c>
      <c r="BW34" s="386">
        <v>6500000</v>
      </c>
      <c r="BX34" s="386">
        <v>4000000</v>
      </c>
      <c r="BY34" s="386">
        <v>250</v>
      </c>
      <c r="BZ34" s="386">
        <v>65</v>
      </c>
      <c r="CA34" s="386">
        <v>1500000</v>
      </c>
      <c r="CB34" s="386">
        <v>950000</v>
      </c>
      <c r="CC34" s="386">
        <f>BT34</f>
        <v>85</v>
      </c>
      <c r="CD34" s="386">
        <f>BU34</f>
        <v>300</v>
      </c>
      <c r="CE34" s="385">
        <f t="shared" si="28"/>
        <v>0.2833333333333333</v>
      </c>
      <c r="CF34" s="386">
        <v>800000</v>
      </c>
      <c r="CG34" s="386">
        <v>375000</v>
      </c>
      <c r="CH34" s="386">
        <f>_xlfn.IFERROR(CA34*(CF34/BW34),0)</f>
        <v>184615.38461538462</v>
      </c>
      <c r="CI34" s="386">
        <f>_xlfn.IFERROR(CB34*(CG34/BX34),0)</f>
        <v>89062.5</v>
      </c>
      <c r="CJ34" s="385">
        <f>CC34/SUM($CC$6:$CC$30)</f>
        <v>0.0009724621597812532</v>
      </c>
      <c r="CK34" s="385">
        <f>CF34/SUM($CF$6:$CF$30)</f>
        <v>0.0015816144804869131</v>
      </c>
      <c r="CL34" s="385">
        <f>CG34/SUM($CG$6:$CG$30)</f>
        <v>0.0015770508513579667</v>
      </c>
      <c r="CM34" s="385">
        <f>CH34/SUM($CH$6:$CH$30)</f>
        <v>0.0010163440984766485</v>
      </c>
      <c r="CN34" s="385" t="e">
        <f>CI34/SUM($CI$6:$CI$30)</f>
        <v>#DIV/0!</v>
      </c>
      <c r="CP34" s="385"/>
      <c r="CQ34" s="385"/>
      <c r="CR34" s="385"/>
      <c r="CS34" s="385"/>
      <c r="CT34" s="385">
        <v>200</v>
      </c>
      <c r="CU34" s="385"/>
      <c r="CV34" s="385"/>
      <c r="CW34" s="385"/>
      <c r="CX34" s="385"/>
      <c r="CY34" s="385">
        <v>150</v>
      </c>
      <c r="CZ34" s="385"/>
      <c r="DA34" s="385"/>
      <c r="DB34" s="385"/>
      <c r="DC34" s="385"/>
      <c r="DD34" s="385">
        <v>400</v>
      </c>
      <c r="DE34" s="385">
        <f t="shared" si="36"/>
        <v>200</v>
      </c>
      <c r="DL34" s="386">
        <v>1100000</v>
      </c>
    </row>
    <row r="35" spans="1:85" ht="12.75">
      <c r="A35" s="387" t="s">
        <v>282</v>
      </c>
      <c r="BW35" s="388"/>
      <c r="BX35" s="388"/>
      <c r="CF35" s="388"/>
      <c r="CG35" s="388"/>
    </row>
    <row r="36" spans="1:40" ht="12.75">
      <c r="A36" s="387" t="s">
        <v>283</v>
      </c>
      <c r="AN36" s="360"/>
    </row>
    <row r="37" spans="1:76" ht="12.75">
      <c r="A37" s="387" t="s">
        <v>286</v>
      </c>
      <c r="BL37" s="389" t="s">
        <v>116</v>
      </c>
      <c r="BS37" s="390">
        <f>SUMIF($G$6:$G$30,BL37,BS$6:BS$30)</f>
        <v>56831</v>
      </c>
      <c r="BT37" s="390">
        <f aca="true" t="shared" si="48" ref="BT37:BV38">SUMIF($G$6:$G$30,$BL37,BT$6:BT$30)</f>
        <v>58161</v>
      </c>
      <c r="BU37" s="390">
        <f t="shared" si="48"/>
        <v>206398</v>
      </c>
      <c r="BV37" s="390">
        <f t="shared" si="48"/>
        <v>149567</v>
      </c>
      <c r="BW37" s="390"/>
      <c r="BX37" s="390"/>
    </row>
    <row r="38" spans="1:85" ht="12.75">
      <c r="A38" s="387" t="s">
        <v>287</v>
      </c>
      <c r="BL38" s="389" t="s">
        <v>117</v>
      </c>
      <c r="BS38" s="390">
        <f>SUMIF($G$6:$G$30,BL38,BS$6:BS$30)</f>
        <v>10022</v>
      </c>
      <c r="BT38" s="390">
        <f t="shared" si="48"/>
        <v>5164</v>
      </c>
      <c r="BU38" s="390">
        <f t="shared" si="48"/>
        <v>26480</v>
      </c>
      <c r="BV38" s="390">
        <f t="shared" si="48"/>
        <v>16458</v>
      </c>
      <c r="BX38" s="390"/>
      <c r="CA38" s="360">
        <f>SUM(CA6:CA22)</f>
        <v>884808639.6129081</v>
      </c>
      <c r="CB38" s="360">
        <f>SUM(CB6:CB22)</f>
        <v>0</v>
      </c>
      <c r="CC38" s="391" t="s">
        <v>292</v>
      </c>
      <c r="CF38" s="388"/>
      <c r="CG38" s="388"/>
    </row>
    <row r="39" spans="1:85" ht="12.75">
      <c r="A39" s="387" t="s">
        <v>289</v>
      </c>
      <c r="CA39" s="360">
        <f>CA23</f>
        <v>27244518</v>
      </c>
      <c r="CB39" s="360">
        <f>CB23</f>
        <v>0</v>
      </c>
      <c r="CC39" s="391" t="s">
        <v>276</v>
      </c>
      <c r="CF39" s="388"/>
      <c r="CG39" s="388"/>
    </row>
    <row r="40" spans="1:81" ht="12.75">
      <c r="A40" s="387" t="s">
        <v>290</v>
      </c>
      <c r="CA40" s="392">
        <f>SUM(CA24:CA30)</f>
        <v>19947756.237856857</v>
      </c>
      <c r="CB40" s="392">
        <f>SUM(CB24:CB30)</f>
        <v>0</v>
      </c>
      <c r="CC40" s="391" t="s">
        <v>293</v>
      </c>
    </row>
    <row r="41" spans="1:80" ht="12.75">
      <c r="A41" s="393" t="s">
        <v>371</v>
      </c>
      <c r="CA41" s="360">
        <f>SUM(CA38:CA40)</f>
        <v>932000913.850765</v>
      </c>
      <c r="CB41" s="360">
        <f>SUM(CB38:CB40)</f>
        <v>0</v>
      </c>
    </row>
  </sheetData>
  <sheetProtection password="EE05" sheet="1" objects="1" scenarios="1"/>
  <printOptions headings="1"/>
  <pageMargins left="0.26" right="0.25" top="0.75" bottom="0.75" header="0.3" footer="0.3"/>
  <pageSetup fitToWidth="3" horizontalDpi="600" verticalDpi="600" orientation="landscape" paperSize="17" scale="58" r:id="rId2"/>
  <headerFooter>
    <oddFooter>&amp;C&amp;"Arial,Regular"&amp;10&amp;A&amp;R&amp;"Arial,Regular"&amp;10Page &amp;P of &amp;N</oddFooter>
  </headerFooter>
  <colBreaks count="1" manualBreakCount="1">
    <brk id="29" max="65535"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AU32"/>
  <sheetViews>
    <sheetView zoomScalePageLayoutView="0" workbookViewId="0" topLeftCell="A1">
      <selection activeCell="A2" sqref="A2"/>
    </sheetView>
  </sheetViews>
  <sheetFormatPr defaultColWidth="9.140625" defaultRowHeight="15"/>
  <cols>
    <col min="1" max="1" width="8.57421875" style="268" bestFit="1" customWidth="1"/>
    <col min="2" max="2" width="11.57421875" style="268" customWidth="1"/>
    <col min="3" max="3" width="36.8515625" style="268" bestFit="1" customWidth="1"/>
    <col min="4" max="4" width="7.57421875" style="268" customWidth="1"/>
    <col min="5" max="5" width="8.8515625" style="268" bestFit="1" customWidth="1"/>
    <col min="6" max="6" width="5.28125" style="268" bestFit="1" customWidth="1"/>
    <col min="7" max="7" width="5.140625" style="268" bestFit="1" customWidth="1"/>
    <col min="8" max="8" width="12.28125" style="268" bestFit="1" customWidth="1"/>
    <col min="9" max="9" width="10.28125" style="268" bestFit="1" customWidth="1"/>
    <col min="10" max="10" width="11.7109375" style="268" bestFit="1" customWidth="1"/>
    <col min="11" max="11" width="11.00390625" style="268" bestFit="1" customWidth="1"/>
    <col min="12" max="12" width="13.57421875" style="268" bestFit="1" customWidth="1"/>
    <col min="13" max="13" width="12.421875" style="268" bestFit="1" customWidth="1"/>
    <col min="14" max="14" width="12.28125" style="268" bestFit="1" customWidth="1"/>
    <col min="15" max="15" width="10.28125" style="268" bestFit="1" customWidth="1"/>
    <col min="16" max="16" width="11.28125" style="268" bestFit="1" customWidth="1"/>
    <col min="17" max="17" width="12.28125" style="268" bestFit="1" customWidth="1"/>
    <col min="18" max="18" width="15.140625" style="268" bestFit="1" customWidth="1"/>
    <col min="19" max="19" width="14.8515625" style="268" bestFit="1" customWidth="1"/>
    <col min="20" max="20" width="15.8515625" style="268" bestFit="1" customWidth="1"/>
    <col min="21" max="21" width="11.28125" style="268" bestFit="1" customWidth="1"/>
    <col min="22" max="22" width="10.28125" style="268" bestFit="1" customWidth="1"/>
    <col min="23" max="23" width="13.28125" style="268" bestFit="1" customWidth="1"/>
    <col min="24" max="24" width="14.00390625" style="268" bestFit="1" customWidth="1"/>
    <col min="25" max="25" width="14.00390625" style="268" customWidth="1"/>
    <col min="26" max="26" width="5.140625" style="315" bestFit="1" customWidth="1"/>
    <col min="27" max="27" width="15.8515625" style="268" bestFit="1" customWidth="1"/>
    <col min="28" max="28" width="12.28125" style="268" bestFit="1" customWidth="1"/>
    <col min="29" max="29" width="11.140625" style="268" bestFit="1" customWidth="1"/>
    <col min="30" max="30" width="11.7109375" style="268" bestFit="1" customWidth="1"/>
    <col min="31" max="31" width="11.28125" style="268" bestFit="1" customWidth="1"/>
    <col min="32" max="32" width="10.28125" style="268" bestFit="1" customWidth="1"/>
    <col min="33" max="33" width="13.28125" style="268" bestFit="1" customWidth="1"/>
    <col min="34" max="34" width="8.00390625" style="268" bestFit="1" customWidth="1"/>
    <col min="35" max="35" width="14.00390625" style="268" bestFit="1" customWidth="1"/>
    <col min="36" max="42" width="14.00390625" style="315" bestFit="1" customWidth="1"/>
    <col min="43" max="43" width="12.28125" style="315" customWidth="1"/>
    <col min="44" max="44" width="12.28125" style="315" hidden="1" customWidth="1"/>
    <col min="45" max="45" width="5.140625" style="315" bestFit="1" customWidth="1"/>
    <col min="46" max="46" width="9.140625" style="315" customWidth="1"/>
    <col min="47" max="47" width="11.28125" style="315" bestFit="1" customWidth="1"/>
    <col min="48" max="16384" width="9.140625" style="268" customWidth="1"/>
  </cols>
  <sheetData>
    <row r="1" spans="1:47" ht="12.75">
      <c r="A1" s="267" t="s">
        <v>352</v>
      </c>
      <c r="C1" s="269" t="s">
        <v>342</v>
      </c>
      <c r="D1" s="270">
        <f>'Parameters and Analysis'!C3</f>
        <v>42433</v>
      </c>
      <c r="E1" s="271" t="s">
        <v>195</v>
      </c>
      <c r="F1" s="272" t="s">
        <v>158</v>
      </c>
      <c r="G1" s="273"/>
      <c r="H1" s="274">
        <v>1</v>
      </c>
      <c r="I1" s="274">
        <v>2</v>
      </c>
      <c r="J1" s="274">
        <v>3</v>
      </c>
      <c r="K1" s="275">
        <v>5</v>
      </c>
      <c r="L1" s="275">
        <v>7</v>
      </c>
      <c r="M1" s="275">
        <v>10</v>
      </c>
      <c r="N1" s="275">
        <v>11</v>
      </c>
      <c r="O1" s="275">
        <v>11.01</v>
      </c>
      <c r="P1" s="275">
        <v>12</v>
      </c>
      <c r="Q1" s="275">
        <v>15</v>
      </c>
      <c r="R1" s="274">
        <v>16</v>
      </c>
      <c r="S1" s="275">
        <v>17</v>
      </c>
      <c r="T1" s="274">
        <v>18</v>
      </c>
      <c r="U1" s="274">
        <v>19</v>
      </c>
      <c r="V1" s="275">
        <v>23</v>
      </c>
      <c r="W1" s="275">
        <v>27</v>
      </c>
      <c r="X1" s="276">
        <v>28</v>
      </c>
      <c r="Y1" s="274"/>
      <c r="Z1" s="273"/>
      <c r="AA1" s="277">
        <v>18</v>
      </c>
      <c r="AB1" s="277">
        <v>19</v>
      </c>
      <c r="AC1" s="278">
        <v>20</v>
      </c>
      <c r="AD1" s="275">
        <v>22</v>
      </c>
      <c r="AE1" s="275">
        <v>23</v>
      </c>
      <c r="AF1" s="275">
        <v>26</v>
      </c>
      <c r="AG1" s="275">
        <v>27</v>
      </c>
      <c r="AH1" s="275">
        <v>27.01</v>
      </c>
      <c r="AI1" s="276">
        <v>28</v>
      </c>
      <c r="AJ1" s="277"/>
      <c r="AK1" s="276"/>
      <c r="AL1" s="279"/>
      <c r="AM1" s="280"/>
      <c r="AN1" s="281"/>
      <c r="AO1" s="282"/>
      <c r="AP1" s="279"/>
      <c r="AQ1" s="283"/>
      <c r="AR1" s="284"/>
      <c r="AS1" s="285"/>
      <c r="AT1" s="286"/>
      <c r="AU1" s="286"/>
    </row>
    <row r="2" spans="3:47" ht="12.75">
      <c r="C2" s="269" t="s">
        <v>343</v>
      </c>
      <c r="D2" s="287">
        <f>'Parameters and Analysis'!C4</f>
        <v>2</v>
      </c>
      <c r="F2" s="272" t="s">
        <v>159</v>
      </c>
      <c r="G2" s="273"/>
      <c r="H2" s="274">
        <v>1</v>
      </c>
      <c r="I2" s="274">
        <v>1</v>
      </c>
      <c r="J2" s="274">
        <v>1</v>
      </c>
      <c r="K2" s="275">
        <v>1</v>
      </c>
      <c r="L2" s="275">
        <v>1</v>
      </c>
      <c r="M2" s="275">
        <v>1</v>
      </c>
      <c r="N2" s="275">
        <v>1</v>
      </c>
      <c r="O2" s="275">
        <v>1</v>
      </c>
      <c r="P2" s="275">
        <v>1</v>
      </c>
      <c r="Q2" s="275">
        <v>1</v>
      </c>
      <c r="R2" s="274">
        <v>1</v>
      </c>
      <c r="S2" s="275">
        <v>1</v>
      </c>
      <c r="T2" s="274">
        <v>1</v>
      </c>
      <c r="U2" s="274">
        <v>1</v>
      </c>
      <c r="V2" s="275">
        <v>1</v>
      </c>
      <c r="W2" s="275">
        <v>1</v>
      </c>
      <c r="X2" s="276">
        <v>1</v>
      </c>
      <c r="Y2" s="274"/>
      <c r="Z2" s="273"/>
      <c r="AA2" s="277">
        <v>2</v>
      </c>
      <c r="AB2" s="277">
        <v>2</v>
      </c>
      <c r="AC2" s="278">
        <v>2</v>
      </c>
      <c r="AD2" s="275">
        <v>2</v>
      </c>
      <c r="AE2" s="275">
        <v>2</v>
      </c>
      <c r="AF2" s="275">
        <v>2</v>
      </c>
      <c r="AG2" s="275">
        <v>2</v>
      </c>
      <c r="AH2" s="275">
        <v>2</v>
      </c>
      <c r="AI2" s="276">
        <v>2</v>
      </c>
      <c r="AJ2" s="277"/>
      <c r="AK2" s="276"/>
      <c r="AL2" s="279"/>
      <c r="AM2" s="274" t="s">
        <v>166</v>
      </c>
      <c r="AN2" s="277" t="s">
        <v>166</v>
      </c>
      <c r="AO2" s="276" t="s">
        <v>166</v>
      </c>
      <c r="AP2" s="288" t="s">
        <v>166</v>
      </c>
      <c r="AQ2" s="283"/>
      <c r="AR2" s="284"/>
      <c r="AS2" s="285"/>
      <c r="AT2" s="286"/>
      <c r="AU2" s="286"/>
    </row>
    <row r="3" spans="1:47" s="302" customFormat="1" ht="64.5" thickBot="1">
      <c r="A3" s="289" t="s">
        <v>56</v>
      </c>
      <c r="B3" s="289" t="s">
        <v>57</v>
      </c>
      <c r="C3" s="289" t="s">
        <v>0</v>
      </c>
      <c r="D3" s="289" t="s">
        <v>1</v>
      </c>
      <c r="E3" s="289" t="s">
        <v>2</v>
      </c>
      <c r="F3" s="289" t="s">
        <v>58</v>
      </c>
      <c r="G3" s="290" t="s">
        <v>164</v>
      </c>
      <c r="H3" s="291" t="s">
        <v>141</v>
      </c>
      <c r="I3" s="291" t="s">
        <v>142</v>
      </c>
      <c r="J3" s="291" t="s">
        <v>143</v>
      </c>
      <c r="K3" s="292" t="s">
        <v>144</v>
      </c>
      <c r="L3" s="292" t="s">
        <v>145</v>
      </c>
      <c r="M3" s="292" t="s">
        <v>146</v>
      </c>
      <c r="N3" s="293" t="s">
        <v>147</v>
      </c>
      <c r="O3" s="293" t="s">
        <v>148</v>
      </c>
      <c r="P3" s="293" t="s">
        <v>149</v>
      </c>
      <c r="Q3" s="292" t="s">
        <v>150</v>
      </c>
      <c r="R3" s="294" t="s">
        <v>160</v>
      </c>
      <c r="S3" s="292" t="s">
        <v>161</v>
      </c>
      <c r="T3" s="291" t="s">
        <v>151</v>
      </c>
      <c r="U3" s="291" t="s">
        <v>152</v>
      </c>
      <c r="V3" s="292" t="s">
        <v>155</v>
      </c>
      <c r="W3" s="292" t="s">
        <v>162</v>
      </c>
      <c r="X3" s="295" t="s">
        <v>163</v>
      </c>
      <c r="Y3" s="291" t="s">
        <v>170</v>
      </c>
      <c r="Z3" s="290" t="s">
        <v>165</v>
      </c>
      <c r="AA3" s="296" t="s">
        <v>151</v>
      </c>
      <c r="AB3" s="296" t="s">
        <v>152</v>
      </c>
      <c r="AC3" s="297" t="s">
        <v>153</v>
      </c>
      <c r="AD3" s="292" t="s">
        <v>154</v>
      </c>
      <c r="AE3" s="292" t="s">
        <v>155</v>
      </c>
      <c r="AF3" s="293" t="s">
        <v>156</v>
      </c>
      <c r="AG3" s="292" t="s">
        <v>162</v>
      </c>
      <c r="AH3" s="292" t="s">
        <v>162</v>
      </c>
      <c r="AI3" s="295" t="s">
        <v>163</v>
      </c>
      <c r="AJ3" s="296" t="s">
        <v>171</v>
      </c>
      <c r="AK3" s="295" t="s">
        <v>172</v>
      </c>
      <c r="AL3" s="298" t="s">
        <v>173</v>
      </c>
      <c r="AM3" s="291" t="s">
        <v>167</v>
      </c>
      <c r="AN3" s="296" t="s">
        <v>168</v>
      </c>
      <c r="AO3" s="295" t="s">
        <v>169</v>
      </c>
      <c r="AP3" s="298" t="s">
        <v>174</v>
      </c>
      <c r="AQ3" s="299" t="s">
        <v>175</v>
      </c>
      <c r="AR3" s="300" t="s">
        <v>176</v>
      </c>
      <c r="AS3" s="290" t="s">
        <v>196</v>
      </c>
      <c r="AT3" s="301" t="s">
        <v>197</v>
      </c>
      <c r="AU3" s="301" t="s">
        <v>198</v>
      </c>
    </row>
    <row r="4" spans="1:47" ht="12.75">
      <c r="A4" s="275" t="s">
        <v>10</v>
      </c>
      <c r="B4" s="275">
        <v>1005630</v>
      </c>
      <c r="C4" s="268" t="s">
        <v>35</v>
      </c>
      <c r="D4" s="303">
        <v>41640</v>
      </c>
      <c r="E4" s="303">
        <v>42004</v>
      </c>
      <c r="F4" s="304">
        <f aca="true" t="shared" si="0" ref="F4:F28">IF(ISERROR(E4-D4+1),0,(E4-D4+1))</f>
        <v>365</v>
      </c>
      <c r="G4" s="305"/>
      <c r="H4" s="306">
        <v>266078550</v>
      </c>
      <c r="I4" s="306">
        <v>0</v>
      </c>
      <c r="J4" s="306">
        <v>8431374</v>
      </c>
      <c r="K4" s="306">
        <v>0</v>
      </c>
      <c r="L4" s="306">
        <v>0</v>
      </c>
      <c r="M4" s="306">
        <v>274509924</v>
      </c>
      <c r="N4" s="306">
        <v>80148767</v>
      </c>
      <c r="O4" s="306" t="s">
        <v>157</v>
      </c>
      <c r="P4" s="306">
        <v>0</v>
      </c>
      <c r="Q4" s="306">
        <v>114271227</v>
      </c>
      <c r="R4" s="306">
        <v>194419994</v>
      </c>
      <c r="S4" s="306">
        <v>468929918</v>
      </c>
      <c r="T4" s="306">
        <v>734232524</v>
      </c>
      <c r="U4" s="306">
        <v>36812989</v>
      </c>
      <c r="V4" s="306">
        <v>0</v>
      </c>
      <c r="W4" s="306">
        <v>-3601050</v>
      </c>
      <c r="X4" s="306">
        <v>1236374381</v>
      </c>
      <c r="Y4" s="306">
        <f>H4+I4+J4+R4+T4+U4</f>
        <v>1239975431</v>
      </c>
      <c r="Z4" s="305"/>
      <c r="AA4" s="306">
        <v>488271685</v>
      </c>
      <c r="AB4" s="306">
        <v>121116505</v>
      </c>
      <c r="AC4" s="306">
        <v>0</v>
      </c>
      <c r="AD4" s="306">
        <v>0</v>
      </c>
      <c r="AE4" s="306">
        <v>0</v>
      </c>
      <c r="AF4" s="306">
        <v>0</v>
      </c>
      <c r="AG4" s="306">
        <v>25844860</v>
      </c>
      <c r="AH4" s="306">
        <v>0</v>
      </c>
      <c r="AI4" s="306">
        <v>635233050</v>
      </c>
      <c r="AJ4" s="307">
        <f>AA4+AB4</f>
        <v>609388190</v>
      </c>
      <c r="AK4" s="307">
        <f>X4+AI4</f>
        <v>1871607431</v>
      </c>
      <c r="AL4" s="307">
        <v>631164987</v>
      </c>
      <c r="AM4" s="307">
        <f>_xlfn.IFERROR(Y4/F4*365,0)</f>
        <v>1239975431</v>
      </c>
      <c r="AN4" s="307">
        <f>_xlfn.IFERROR(AJ4/F4*365,0)</f>
        <v>609388190</v>
      </c>
      <c r="AO4" s="307">
        <f>_xlfn.IFERROR(AK4/F4*365,0)</f>
        <v>1871607431</v>
      </c>
      <c r="AP4" s="307">
        <f>_xlfn.IFERROR(AL4/F4*365,0)</f>
        <v>631164987</v>
      </c>
      <c r="AQ4" s="308">
        <f>_xlfn.IFERROR(((AM4-AU4)/AO4)*AP4,0)</f>
        <v>418158778.29106265</v>
      </c>
      <c r="AR4" s="309"/>
      <c r="AS4" s="310"/>
      <c r="AT4" s="311">
        <f>_xlfn.IFERROR((K4+L4)/S4,0)</f>
        <v>0</v>
      </c>
      <c r="AU4" s="312">
        <f>AT4*T4</f>
        <v>0</v>
      </c>
    </row>
    <row r="5" spans="1:47" ht="12.75">
      <c r="A5" s="275" t="s">
        <v>14</v>
      </c>
      <c r="B5" s="275">
        <v>1006079</v>
      </c>
      <c r="C5" s="268" t="s">
        <v>38</v>
      </c>
      <c r="D5" s="303">
        <v>41640</v>
      </c>
      <c r="E5" s="303">
        <v>42004</v>
      </c>
      <c r="F5" s="304">
        <f t="shared" si="0"/>
        <v>365</v>
      </c>
      <c r="G5" s="305"/>
      <c r="H5" s="306">
        <v>52841258</v>
      </c>
      <c r="I5" s="306">
        <v>0</v>
      </c>
      <c r="J5" s="306">
        <v>0</v>
      </c>
      <c r="K5" s="306">
        <v>0</v>
      </c>
      <c r="L5" s="306">
        <v>0</v>
      </c>
      <c r="M5" s="306">
        <v>52841258</v>
      </c>
      <c r="N5" s="306">
        <v>7485342</v>
      </c>
      <c r="O5" s="306" t="s">
        <v>157</v>
      </c>
      <c r="P5" s="306">
        <v>0</v>
      </c>
      <c r="Q5" s="306">
        <v>0</v>
      </c>
      <c r="R5" s="306">
        <v>7485342</v>
      </c>
      <c r="S5" s="306">
        <v>60326600</v>
      </c>
      <c r="T5" s="306">
        <v>125710413</v>
      </c>
      <c r="U5" s="306">
        <v>12489114</v>
      </c>
      <c r="V5" s="306">
        <v>0</v>
      </c>
      <c r="W5" s="306">
        <v>0</v>
      </c>
      <c r="X5" s="306">
        <v>198526127</v>
      </c>
      <c r="Y5" s="306">
        <f aca="true" t="shared" si="1" ref="Y5:Y21">H5+I5+J5+R5+T5+U5</f>
        <v>198526127</v>
      </c>
      <c r="Z5" s="305"/>
      <c r="AA5" s="306">
        <v>160795602</v>
      </c>
      <c r="AB5" s="306">
        <v>46551494</v>
      </c>
      <c r="AC5" s="306">
        <v>0</v>
      </c>
      <c r="AD5" s="306">
        <v>0</v>
      </c>
      <c r="AE5" s="306">
        <v>0</v>
      </c>
      <c r="AF5" s="306">
        <v>0</v>
      </c>
      <c r="AG5" s="306">
        <v>12687781</v>
      </c>
      <c r="AH5" s="306">
        <v>0</v>
      </c>
      <c r="AI5" s="306">
        <v>220034877</v>
      </c>
      <c r="AJ5" s="307">
        <f aca="true" t="shared" si="2" ref="AJ5:AJ21">AA5+AB5</f>
        <v>207347096</v>
      </c>
      <c r="AK5" s="307">
        <f aca="true" t="shared" si="3" ref="AK5:AK21">X5+AI5</f>
        <v>418561004</v>
      </c>
      <c r="AL5" s="307">
        <v>164480182</v>
      </c>
      <c r="AM5" s="307">
        <f aca="true" t="shared" si="4" ref="AM5:AM21">Y5/F5*365</f>
        <v>198526127</v>
      </c>
      <c r="AN5" s="307">
        <f aca="true" t="shared" si="5" ref="AN5:AN21">_xlfn.IFERROR(AJ5/F5*365,0)</f>
        <v>207347096</v>
      </c>
      <c r="AO5" s="307">
        <f aca="true" t="shared" si="6" ref="AO5:AO21">_xlfn.IFERROR(AK5/F5*365,0)</f>
        <v>418561004</v>
      </c>
      <c r="AP5" s="307">
        <f aca="true" t="shared" si="7" ref="AP5:AP21">_xlfn.IFERROR(AL5/F5*365,0)</f>
        <v>164480182</v>
      </c>
      <c r="AQ5" s="308">
        <f aca="true" t="shared" si="8" ref="AQ5:AQ21">_xlfn.IFERROR(((AM5-AU5)/AO5)*AP5,0)</f>
        <v>78013988.8538568</v>
      </c>
      <c r="AR5" s="309"/>
      <c r="AS5" s="310"/>
      <c r="AT5" s="311">
        <f aca="true" t="shared" si="9" ref="AT5:AT21">_xlfn.IFERROR((K5+L5)/S5,0)</f>
        <v>0</v>
      </c>
      <c r="AU5" s="312">
        <f aca="true" t="shared" si="10" ref="AU5:AU21">AT5*T5</f>
        <v>0</v>
      </c>
    </row>
    <row r="6" spans="1:47" ht="12.75">
      <c r="A6" s="275" t="s">
        <v>5</v>
      </c>
      <c r="B6" s="275">
        <v>1005539</v>
      </c>
      <c r="C6" s="268" t="s">
        <v>30</v>
      </c>
      <c r="D6" s="303">
        <v>41456</v>
      </c>
      <c r="E6" s="303">
        <v>41820</v>
      </c>
      <c r="F6" s="304">
        <f t="shared" si="0"/>
        <v>365</v>
      </c>
      <c r="G6" s="305"/>
      <c r="H6" s="306">
        <v>17020102</v>
      </c>
      <c r="I6" s="306">
        <v>7728801</v>
      </c>
      <c r="J6" s="306">
        <v>0</v>
      </c>
      <c r="K6" s="306">
        <v>0</v>
      </c>
      <c r="L6" s="306">
        <v>0</v>
      </c>
      <c r="M6" s="306">
        <v>24748903</v>
      </c>
      <c r="N6" s="306">
        <v>5058761</v>
      </c>
      <c r="O6" s="306" t="s">
        <v>157</v>
      </c>
      <c r="P6" s="306">
        <v>0</v>
      </c>
      <c r="Q6" s="306">
        <v>0</v>
      </c>
      <c r="R6" s="306">
        <v>5058761</v>
      </c>
      <c r="S6" s="306">
        <v>29807664</v>
      </c>
      <c r="T6" s="306">
        <v>19482966</v>
      </c>
      <c r="U6" s="306">
        <v>0</v>
      </c>
      <c r="V6" s="306">
        <v>0</v>
      </c>
      <c r="W6" s="306">
        <v>0</v>
      </c>
      <c r="X6" s="306">
        <v>49290630</v>
      </c>
      <c r="Y6" s="306">
        <f t="shared" si="1"/>
        <v>49290630</v>
      </c>
      <c r="Z6" s="305"/>
      <c r="AA6" s="306">
        <v>67190534</v>
      </c>
      <c r="AB6" s="306">
        <v>0</v>
      </c>
      <c r="AC6" s="306">
        <v>0</v>
      </c>
      <c r="AD6" s="306">
        <v>0</v>
      </c>
      <c r="AE6" s="306">
        <v>0</v>
      </c>
      <c r="AF6" s="306">
        <v>0</v>
      </c>
      <c r="AG6" s="306">
        <v>10136996</v>
      </c>
      <c r="AH6" s="306">
        <v>0</v>
      </c>
      <c r="AI6" s="306">
        <v>77327530</v>
      </c>
      <c r="AJ6" s="307">
        <f t="shared" si="2"/>
        <v>67190534</v>
      </c>
      <c r="AK6" s="307">
        <f t="shared" si="3"/>
        <v>126618160</v>
      </c>
      <c r="AL6" s="307">
        <v>77258391</v>
      </c>
      <c r="AM6" s="307">
        <f t="shared" si="4"/>
        <v>49290629.99999999</v>
      </c>
      <c r="AN6" s="307">
        <f t="shared" si="5"/>
        <v>67190534</v>
      </c>
      <c r="AO6" s="307">
        <f t="shared" si="6"/>
        <v>126618160</v>
      </c>
      <c r="AP6" s="307">
        <f t="shared" si="7"/>
        <v>77258391</v>
      </c>
      <c r="AQ6" s="308">
        <f t="shared" si="8"/>
        <v>30075581.30031529</v>
      </c>
      <c r="AR6" s="309"/>
      <c r="AS6" s="310"/>
      <c r="AT6" s="311">
        <f t="shared" si="9"/>
        <v>0</v>
      </c>
      <c r="AU6" s="312">
        <f t="shared" si="10"/>
        <v>0</v>
      </c>
    </row>
    <row r="7" spans="1:47" ht="12.75">
      <c r="A7" s="275" t="s">
        <v>7</v>
      </c>
      <c r="B7" s="275">
        <v>1005551</v>
      </c>
      <c r="C7" s="268" t="s">
        <v>32</v>
      </c>
      <c r="D7" s="303">
        <v>41640</v>
      </c>
      <c r="E7" s="303">
        <v>42004</v>
      </c>
      <c r="F7" s="304">
        <f t="shared" si="0"/>
        <v>365</v>
      </c>
      <c r="G7" s="305"/>
      <c r="H7" s="306">
        <v>54498886</v>
      </c>
      <c r="I7" s="306">
        <v>0</v>
      </c>
      <c r="J7" s="306">
        <v>0</v>
      </c>
      <c r="K7" s="306">
        <v>0</v>
      </c>
      <c r="L7" s="306">
        <v>18573715</v>
      </c>
      <c r="M7" s="306">
        <v>73072601</v>
      </c>
      <c r="N7" s="306">
        <v>11276957</v>
      </c>
      <c r="O7" s="306" t="s">
        <v>157</v>
      </c>
      <c r="P7" s="306">
        <v>0</v>
      </c>
      <c r="Q7" s="306">
        <v>0</v>
      </c>
      <c r="R7" s="306">
        <v>11276957</v>
      </c>
      <c r="S7" s="306">
        <v>84349558</v>
      </c>
      <c r="T7" s="306">
        <v>82320039</v>
      </c>
      <c r="U7" s="306">
        <v>6627522</v>
      </c>
      <c r="V7" s="306">
        <v>0</v>
      </c>
      <c r="W7" s="306">
        <v>0</v>
      </c>
      <c r="X7" s="306">
        <v>173297119</v>
      </c>
      <c r="Y7" s="306">
        <f t="shared" si="1"/>
        <v>154723404</v>
      </c>
      <c r="Z7" s="305"/>
      <c r="AA7" s="306">
        <v>157982505</v>
      </c>
      <c r="AB7" s="306">
        <v>58462121</v>
      </c>
      <c r="AC7" s="306">
        <v>0</v>
      </c>
      <c r="AD7" s="306">
        <v>1400795</v>
      </c>
      <c r="AE7" s="306">
        <v>0</v>
      </c>
      <c r="AF7" s="306">
        <v>1623785</v>
      </c>
      <c r="AG7" s="306">
        <v>0</v>
      </c>
      <c r="AH7" s="306">
        <v>0</v>
      </c>
      <c r="AI7" s="306">
        <v>219469206</v>
      </c>
      <c r="AJ7" s="307">
        <f t="shared" si="2"/>
        <v>216444626</v>
      </c>
      <c r="AK7" s="307">
        <f t="shared" si="3"/>
        <v>392766325</v>
      </c>
      <c r="AL7" s="307">
        <v>225720158</v>
      </c>
      <c r="AM7" s="307">
        <f t="shared" si="4"/>
        <v>154723404</v>
      </c>
      <c r="AN7" s="307">
        <f t="shared" si="5"/>
        <v>216444626.00000003</v>
      </c>
      <c r="AO7" s="307">
        <f t="shared" si="6"/>
        <v>392766325</v>
      </c>
      <c r="AP7" s="307">
        <f t="shared" si="7"/>
        <v>225720158</v>
      </c>
      <c r="AQ7" s="308">
        <f t="shared" si="8"/>
        <v>78501137.68547072</v>
      </c>
      <c r="AR7" s="309"/>
      <c r="AS7" s="310"/>
      <c r="AT7" s="311">
        <f t="shared" si="9"/>
        <v>0.22019931627857492</v>
      </c>
      <c r="AU7" s="312">
        <f t="shared" si="10"/>
        <v>18126816.30382562</v>
      </c>
    </row>
    <row r="8" spans="1:47" ht="12.75">
      <c r="A8" s="275" t="s">
        <v>4</v>
      </c>
      <c r="B8" s="275">
        <v>1005744</v>
      </c>
      <c r="C8" s="268" t="s">
        <v>29</v>
      </c>
      <c r="D8" s="303">
        <v>41640</v>
      </c>
      <c r="E8" s="303">
        <v>42004</v>
      </c>
      <c r="F8" s="304">
        <f t="shared" si="0"/>
        <v>365</v>
      </c>
      <c r="G8" s="305"/>
      <c r="H8" s="306">
        <v>44936265</v>
      </c>
      <c r="I8" s="306">
        <v>0</v>
      </c>
      <c r="J8" s="306">
        <v>5510609</v>
      </c>
      <c r="K8" s="306">
        <v>0</v>
      </c>
      <c r="L8" s="306">
        <v>0</v>
      </c>
      <c r="M8" s="306">
        <v>50446874</v>
      </c>
      <c r="N8" s="306">
        <v>24609408</v>
      </c>
      <c r="O8" s="306">
        <v>5337778</v>
      </c>
      <c r="P8" s="306">
        <v>16460307</v>
      </c>
      <c r="Q8" s="306">
        <v>0</v>
      </c>
      <c r="R8" s="306">
        <v>46407493</v>
      </c>
      <c r="S8" s="306">
        <v>96854367</v>
      </c>
      <c r="T8" s="306">
        <v>336938405</v>
      </c>
      <c r="U8" s="306">
        <v>8832729</v>
      </c>
      <c r="V8" s="306">
        <v>17880</v>
      </c>
      <c r="W8" s="306">
        <v>1222970</v>
      </c>
      <c r="X8" s="306">
        <v>443866351</v>
      </c>
      <c r="Y8" s="306">
        <f t="shared" si="1"/>
        <v>442625501</v>
      </c>
      <c r="Z8" s="305"/>
      <c r="AA8" s="306">
        <v>168550645</v>
      </c>
      <c r="AB8" s="306">
        <v>38886697</v>
      </c>
      <c r="AC8" s="306">
        <v>0</v>
      </c>
      <c r="AD8" s="306">
        <v>0</v>
      </c>
      <c r="AE8" s="306">
        <v>6160072</v>
      </c>
      <c r="AF8" s="306">
        <v>0</v>
      </c>
      <c r="AG8" s="306">
        <v>0</v>
      </c>
      <c r="AH8" s="306">
        <v>0</v>
      </c>
      <c r="AI8" s="306">
        <v>213597414</v>
      </c>
      <c r="AJ8" s="307">
        <f t="shared" si="2"/>
        <v>207437342</v>
      </c>
      <c r="AK8" s="307">
        <f t="shared" si="3"/>
        <v>657463765</v>
      </c>
      <c r="AL8" s="307">
        <v>211540400</v>
      </c>
      <c r="AM8" s="307">
        <f t="shared" si="4"/>
        <v>442625501</v>
      </c>
      <c r="AN8" s="307">
        <f t="shared" si="5"/>
        <v>207437341.99999997</v>
      </c>
      <c r="AO8" s="307">
        <f t="shared" si="6"/>
        <v>657463765</v>
      </c>
      <c r="AP8" s="307">
        <f t="shared" si="7"/>
        <v>211540400</v>
      </c>
      <c r="AQ8" s="308">
        <f t="shared" si="8"/>
        <v>142415720.0994041</v>
      </c>
      <c r="AR8" s="309"/>
      <c r="AS8" s="313"/>
      <c r="AT8" s="311">
        <f t="shared" si="9"/>
        <v>0</v>
      </c>
      <c r="AU8" s="312">
        <f t="shared" si="10"/>
        <v>0</v>
      </c>
    </row>
    <row r="9" spans="1:47" ht="12.75">
      <c r="A9" s="275" t="s">
        <v>6</v>
      </c>
      <c r="B9" s="275">
        <v>1005528</v>
      </c>
      <c r="C9" s="268" t="s">
        <v>31</v>
      </c>
      <c r="D9" s="303">
        <v>41456</v>
      </c>
      <c r="E9" s="303">
        <v>41820</v>
      </c>
      <c r="F9" s="304">
        <f t="shared" si="0"/>
        <v>365</v>
      </c>
      <c r="G9" s="305"/>
      <c r="H9" s="306">
        <v>19956896</v>
      </c>
      <c r="I9" s="306">
        <v>0</v>
      </c>
      <c r="J9" s="306">
        <v>0</v>
      </c>
      <c r="K9" s="306">
        <v>1396213</v>
      </c>
      <c r="L9" s="306">
        <v>10149252</v>
      </c>
      <c r="M9" s="306">
        <v>31502361</v>
      </c>
      <c r="N9" s="306">
        <v>5621674</v>
      </c>
      <c r="O9" s="306" t="s">
        <v>157</v>
      </c>
      <c r="P9" s="306">
        <v>0</v>
      </c>
      <c r="Q9" s="306">
        <v>0</v>
      </c>
      <c r="R9" s="306">
        <v>5621674</v>
      </c>
      <c r="S9" s="306">
        <v>37124035</v>
      </c>
      <c r="T9" s="306">
        <v>67674385</v>
      </c>
      <c r="U9" s="306">
        <v>0</v>
      </c>
      <c r="V9" s="306">
        <v>0</v>
      </c>
      <c r="W9" s="306">
        <v>2277723</v>
      </c>
      <c r="X9" s="306">
        <v>107076143</v>
      </c>
      <c r="Y9" s="306">
        <f t="shared" si="1"/>
        <v>93252955</v>
      </c>
      <c r="Z9" s="305"/>
      <c r="AA9" s="306">
        <v>1</v>
      </c>
      <c r="AB9" s="306">
        <v>123518565</v>
      </c>
      <c r="AC9" s="306">
        <v>0</v>
      </c>
      <c r="AD9" s="306">
        <v>0</v>
      </c>
      <c r="AE9" s="306">
        <v>0</v>
      </c>
      <c r="AF9" s="306">
        <v>0</v>
      </c>
      <c r="AG9" s="306">
        <v>0</v>
      </c>
      <c r="AH9" s="306">
        <v>0</v>
      </c>
      <c r="AI9" s="306">
        <v>123518566</v>
      </c>
      <c r="AJ9" s="307">
        <f t="shared" si="2"/>
        <v>123518566</v>
      </c>
      <c r="AK9" s="307">
        <f t="shared" si="3"/>
        <v>230594709</v>
      </c>
      <c r="AL9" s="307">
        <v>142862617</v>
      </c>
      <c r="AM9" s="307">
        <f t="shared" si="4"/>
        <v>93252955</v>
      </c>
      <c r="AN9" s="307">
        <f t="shared" si="5"/>
        <v>123518566</v>
      </c>
      <c r="AO9" s="307">
        <f t="shared" si="6"/>
        <v>230594709</v>
      </c>
      <c r="AP9" s="307">
        <f t="shared" si="7"/>
        <v>142862617</v>
      </c>
      <c r="AQ9" s="308">
        <f t="shared" si="8"/>
        <v>44734757.33883531</v>
      </c>
      <c r="AR9" s="309"/>
      <c r="AS9" s="313"/>
      <c r="AT9" s="311">
        <f t="shared" si="9"/>
        <v>0.3109970400577416</v>
      </c>
      <c r="AU9" s="312">
        <f t="shared" si="10"/>
        <v>21046533.42272803</v>
      </c>
    </row>
    <row r="10" spans="1:47" ht="12.75">
      <c r="A10" s="275" t="s">
        <v>19</v>
      </c>
      <c r="B10" s="275">
        <v>1005536</v>
      </c>
      <c r="C10" s="268" t="s">
        <v>43</v>
      </c>
      <c r="D10" s="303">
        <v>41640</v>
      </c>
      <c r="E10" s="303">
        <v>42004</v>
      </c>
      <c r="F10" s="304">
        <f t="shared" si="0"/>
        <v>365</v>
      </c>
      <c r="G10" s="305"/>
      <c r="H10" s="306">
        <v>1943298</v>
      </c>
      <c r="I10" s="306">
        <v>0</v>
      </c>
      <c r="J10" s="306">
        <v>0</v>
      </c>
      <c r="K10" s="306">
        <v>664924</v>
      </c>
      <c r="L10" s="306">
        <v>4196986</v>
      </c>
      <c r="M10" s="306">
        <v>6805208</v>
      </c>
      <c r="N10" s="306">
        <v>0</v>
      </c>
      <c r="O10" s="306" t="s">
        <v>157</v>
      </c>
      <c r="P10" s="306">
        <v>0</v>
      </c>
      <c r="Q10" s="306">
        <v>0</v>
      </c>
      <c r="R10" s="306">
        <v>0</v>
      </c>
      <c r="S10" s="306">
        <v>6805208</v>
      </c>
      <c r="T10" s="306">
        <v>1340228</v>
      </c>
      <c r="U10" s="306">
        <v>131311</v>
      </c>
      <c r="V10" s="306">
        <v>0</v>
      </c>
      <c r="W10" s="306">
        <v>2241</v>
      </c>
      <c r="X10" s="306">
        <v>8278988</v>
      </c>
      <c r="Y10" s="306">
        <f t="shared" si="1"/>
        <v>3414837</v>
      </c>
      <c r="Z10" s="305"/>
      <c r="AA10" s="306">
        <v>4785900</v>
      </c>
      <c r="AB10" s="306">
        <v>2224527</v>
      </c>
      <c r="AC10" s="306">
        <v>0</v>
      </c>
      <c r="AD10" s="306">
        <v>0</v>
      </c>
      <c r="AE10" s="306">
        <v>0</v>
      </c>
      <c r="AF10" s="306">
        <v>0</v>
      </c>
      <c r="AG10" s="306">
        <v>654631</v>
      </c>
      <c r="AH10" s="306">
        <v>0</v>
      </c>
      <c r="AI10" s="306">
        <v>7665058</v>
      </c>
      <c r="AJ10" s="307">
        <f t="shared" si="2"/>
        <v>7010427</v>
      </c>
      <c r="AK10" s="307">
        <f t="shared" si="3"/>
        <v>15944046</v>
      </c>
      <c r="AL10" s="307">
        <v>12058477</v>
      </c>
      <c r="AM10" s="307">
        <f t="shared" si="4"/>
        <v>3414837</v>
      </c>
      <c r="AN10" s="307">
        <f t="shared" si="5"/>
        <v>7010427.000000001</v>
      </c>
      <c r="AO10" s="307">
        <f t="shared" si="6"/>
        <v>15944046.000000002</v>
      </c>
      <c r="AP10" s="307">
        <f t="shared" si="7"/>
        <v>12058477</v>
      </c>
      <c r="AQ10" s="308">
        <f t="shared" si="8"/>
        <v>1858474.17369696</v>
      </c>
      <c r="AR10" s="309"/>
      <c r="AS10" s="313"/>
      <c r="AT10" s="311">
        <f t="shared" si="9"/>
        <v>0.7144395880331652</v>
      </c>
      <c r="AU10" s="312">
        <f t="shared" si="10"/>
        <v>957511.9401905129</v>
      </c>
    </row>
    <row r="11" spans="1:47" ht="12.75">
      <c r="A11" s="275" t="s">
        <v>16</v>
      </c>
      <c r="B11" s="275">
        <v>1006087</v>
      </c>
      <c r="C11" s="268" t="s">
        <v>40</v>
      </c>
      <c r="D11" s="303">
        <v>41640</v>
      </c>
      <c r="E11" s="303">
        <v>42004</v>
      </c>
      <c r="F11" s="304">
        <f t="shared" si="0"/>
        <v>365</v>
      </c>
      <c r="G11" s="305"/>
      <c r="H11" s="306">
        <v>899685</v>
      </c>
      <c r="I11" s="306">
        <v>0</v>
      </c>
      <c r="J11" s="306">
        <v>0</v>
      </c>
      <c r="K11" s="306">
        <v>0</v>
      </c>
      <c r="L11" s="306">
        <v>15024860</v>
      </c>
      <c r="M11" s="306">
        <v>15924545</v>
      </c>
      <c r="N11" s="306">
        <v>0</v>
      </c>
      <c r="O11" s="306" t="s">
        <v>157</v>
      </c>
      <c r="P11" s="306">
        <v>0</v>
      </c>
      <c r="Q11" s="306">
        <v>0</v>
      </c>
      <c r="R11" s="306">
        <v>0</v>
      </c>
      <c r="S11" s="306">
        <v>15924545</v>
      </c>
      <c r="T11" s="306">
        <v>640783</v>
      </c>
      <c r="U11" s="306">
        <v>12696</v>
      </c>
      <c r="V11" s="306">
        <v>0</v>
      </c>
      <c r="W11" s="306">
        <v>0</v>
      </c>
      <c r="X11" s="306">
        <v>16578024</v>
      </c>
      <c r="Y11" s="306">
        <f t="shared" si="1"/>
        <v>1553164</v>
      </c>
      <c r="Z11" s="305"/>
      <c r="AA11" s="306">
        <v>4262554</v>
      </c>
      <c r="AB11" s="306">
        <v>4001154</v>
      </c>
      <c r="AC11" s="306">
        <v>0</v>
      </c>
      <c r="AD11" s="306">
        <v>0</v>
      </c>
      <c r="AE11" s="306">
        <v>0</v>
      </c>
      <c r="AF11" s="306">
        <v>0</v>
      </c>
      <c r="AG11" s="306">
        <v>0</v>
      </c>
      <c r="AH11" s="306">
        <v>0</v>
      </c>
      <c r="AI11" s="306">
        <v>8263708</v>
      </c>
      <c r="AJ11" s="307">
        <f t="shared" si="2"/>
        <v>8263708</v>
      </c>
      <c r="AK11" s="307">
        <f t="shared" si="3"/>
        <v>24841732</v>
      </c>
      <c r="AL11" s="307">
        <v>17832079</v>
      </c>
      <c r="AM11" s="307">
        <f t="shared" si="4"/>
        <v>1553164</v>
      </c>
      <c r="AN11" s="307">
        <f t="shared" si="5"/>
        <v>8263708</v>
      </c>
      <c r="AO11" s="307">
        <f t="shared" si="6"/>
        <v>24841732.000000004</v>
      </c>
      <c r="AP11" s="307">
        <f t="shared" si="7"/>
        <v>17832079</v>
      </c>
      <c r="AQ11" s="308">
        <f t="shared" si="8"/>
        <v>680919.0987900337</v>
      </c>
      <c r="AR11" s="309"/>
      <c r="AS11" s="313"/>
      <c r="AT11" s="311">
        <f t="shared" si="9"/>
        <v>0.94350325236922</v>
      </c>
      <c r="AU11" s="312">
        <f t="shared" si="10"/>
        <v>604580.8445629058</v>
      </c>
    </row>
    <row r="12" spans="1:47" ht="12.75">
      <c r="A12" s="275" t="s">
        <v>12</v>
      </c>
      <c r="B12" s="275">
        <v>1005674</v>
      </c>
      <c r="C12" s="268" t="s">
        <v>36</v>
      </c>
      <c r="D12" s="303">
        <v>41456</v>
      </c>
      <c r="E12" s="303">
        <v>41820</v>
      </c>
      <c r="F12" s="304">
        <f t="shared" si="0"/>
        <v>365</v>
      </c>
      <c r="G12" s="305"/>
      <c r="H12" s="306">
        <v>1510157</v>
      </c>
      <c r="I12" s="306">
        <v>0</v>
      </c>
      <c r="J12" s="306">
        <v>0</v>
      </c>
      <c r="K12" s="306">
        <v>572190</v>
      </c>
      <c r="L12" s="306">
        <v>4262459</v>
      </c>
      <c r="M12" s="306">
        <v>6344806</v>
      </c>
      <c r="N12" s="306">
        <v>0</v>
      </c>
      <c r="O12" s="306" t="s">
        <v>157</v>
      </c>
      <c r="P12" s="306">
        <v>0</v>
      </c>
      <c r="Q12" s="306">
        <v>0</v>
      </c>
      <c r="R12" s="306">
        <v>0</v>
      </c>
      <c r="S12" s="306">
        <v>6344806</v>
      </c>
      <c r="T12" s="306">
        <v>2482012</v>
      </c>
      <c r="U12" s="306">
        <v>0</v>
      </c>
      <c r="V12" s="306">
        <v>0</v>
      </c>
      <c r="W12" s="306">
        <v>0</v>
      </c>
      <c r="X12" s="306">
        <v>8826818</v>
      </c>
      <c r="Y12" s="306">
        <f t="shared" si="1"/>
        <v>3992169</v>
      </c>
      <c r="Z12" s="305"/>
      <c r="AA12" s="306">
        <v>14136481</v>
      </c>
      <c r="AB12" s="306">
        <v>1</v>
      </c>
      <c r="AC12" s="306">
        <v>0</v>
      </c>
      <c r="AD12" s="306">
        <v>185393</v>
      </c>
      <c r="AE12" s="306">
        <v>0</v>
      </c>
      <c r="AF12" s="306">
        <v>0</v>
      </c>
      <c r="AG12" s="306">
        <v>0</v>
      </c>
      <c r="AH12" s="306">
        <v>0</v>
      </c>
      <c r="AI12" s="306">
        <v>14321875</v>
      </c>
      <c r="AJ12" s="307">
        <f t="shared" si="2"/>
        <v>14136482</v>
      </c>
      <c r="AK12" s="307">
        <f t="shared" si="3"/>
        <v>23148693</v>
      </c>
      <c r="AL12" s="307">
        <v>22071941</v>
      </c>
      <c r="AM12" s="307">
        <f t="shared" si="4"/>
        <v>3992169.0000000005</v>
      </c>
      <c r="AN12" s="307">
        <f t="shared" si="5"/>
        <v>14136482</v>
      </c>
      <c r="AO12" s="307">
        <f t="shared" si="6"/>
        <v>23148693</v>
      </c>
      <c r="AP12" s="307">
        <f t="shared" si="7"/>
        <v>22071941</v>
      </c>
      <c r="AQ12" s="308">
        <f t="shared" si="8"/>
        <v>2003189.2260594873</v>
      </c>
      <c r="AR12" s="309"/>
      <c r="AS12" s="313"/>
      <c r="AT12" s="311">
        <f t="shared" si="9"/>
        <v>0.7619853152326486</v>
      </c>
      <c r="AU12" s="312">
        <f t="shared" si="10"/>
        <v>1891256.6962312164</v>
      </c>
    </row>
    <row r="13" spans="1:47" ht="12.75">
      <c r="A13" s="275" t="s">
        <v>9</v>
      </c>
      <c r="B13" s="275">
        <v>1005609</v>
      </c>
      <c r="C13" s="268" t="s">
        <v>34</v>
      </c>
      <c r="D13" s="303">
        <v>41456</v>
      </c>
      <c r="E13" s="303">
        <v>41820</v>
      </c>
      <c r="F13" s="304">
        <f t="shared" si="0"/>
        <v>365</v>
      </c>
      <c r="G13" s="305"/>
      <c r="H13" s="306">
        <v>492343</v>
      </c>
      <c r="I13" s="306">
        <v>0</v>
      </c>
      <c r="J13" s="306">
        <v>0</v>
      </c>
      <c r="K13" s="306">
        <v>1860967</v>
      </c>
      <c r="L13" s="306">
        <v>3748223</v>
      </c>
      <c r="M13" s="306">
        <v>6101533</v>
      </c>
      <c r="N13" s="306">
        <v>0</v>
      </c>
      <c r="O13" s="306" t="s">
        <v>157</v>
      </c>
      <c r="P13" s="306">
        <v>0</v>
      </c>
      <c r="Q13" s="306">
        <v>0</v>
      </c>
      <c r="R13" s="306">
        <v>0</v>
      </c>
      <c r="S13" s="306">
        <v>6101533</v>
      </c>
      <c r="T13" s="306">
        <v>1305567</v>
      </c>
      <c r="U13" s="306">
        <v>0</v>
      </c>
      <c r="V13" s="306">
        <v>0</v>
      </c>
      <c r="W13" s="306">
        <v>0</v>
      </c>
      <c r="X13" s="306">
        <v>7407100</v>
      </c>
      <c r="Y13" s="306">
        <f t="shared" si="1"/>
        <v>1797910</v>
      </c>
      <c r="Z13" s="305"/>
      <c r="AA13" s="306">
        <v>1</v>
      </c>
      <c r="AB13" s="306">
        <v>7890550</v>
      </c>
      <c r="AC13" s="306">
        <v>0</v>
      </c>
      <c r="AD13" s="306">
        <v>83059</v>
      </c>
      <c r="AE13" s="306">
        <v>0</v>
      </c>
      <c r="AF13" s="306">
        <v>0</v>
      </c>
      <c r="AG13" s="306">
        <v>0</v>
      </c>
      <c r="AH13" s="306">
        <v>0</v>
      </c>
      <c r="AI13" s="306">
        <v>7973610</v>
      </c>
      <c r="AJ13" s="307">
        <f t="shared" si="2"/>
        <v>7890551</v>
      </c>
      <c r="AK13" s="307">
        <f t="shared" si="3"/>
        <v>15380710</v>
      </c>
      <c r="AL13" s="307">
        <v>11867846</v>
      </c>
      <c r="AM13" s="307">
        <f t="shared" si="4"/>
        <v>1797909.9999999998</v>
      </c>
      <c r="AN13" s="307">
        <f t="shared" si="5"/>
        <v>7890551</v>
      </c>
      <c r="AO13" s="307">
        <f t="shared" si="6"/>
        <v>15380710</v>
      </c>
      <c r="AP13" s="307">
        <f t="shared" si="7"/>
        <v>11867846</v>
      </c>
      <c r="AQ13" s="308">
        <f t="shared" si="8"/>
        <v>461182.1923437177</v>
      </c>
      <c r="AR13" s="309"/>
      <c r="AS13" s="313"/>
      <c r="AT13" s="311">
        <f t="shared" si="9"/>
        <v>0.9193083115341669</v>
      </c>
      <c r="AU13" s="312">
        <f t="shared" si="10"/>
        <v>1200218.5943647276</v>
      </c>
    </row>
    <row r="14" spans="1:47" ht="12.75">
      <c r="A14" s="275" t="s">
        <v>17</v>
      </c>
      <c r="B14" s="275">
        <v>1005584</v>
      </c>
      <c r="C14" s="268" t="s">
        <v>41</v>
      </c>
      <c r="D14" s="303">
        <v>41456</v>
      </c>
      <c r="E14" s="303">
        <v>41820</v>
      </c>
      <c r="F14" s="304">
        <f t="shared" si="0"/>
        <v>365</v>
      </c>
      <c r="G14" s="305"/>
      <c r="H14" s="306">
        <v>513753</v>
      </c>
      <c r="I14" s="306">
        <v>0</v>
      </c>
      <c r="J14" s="306">
        <v>0</v>
      </c>
      <c r="K14" s="306">
        <v>614838</v>
      </c>
      <c r="L14" s="306">
        <v>3346902</v>
      </c>
      <c r="M14" s="306">
        <v>4475493</v>
      </c>
      <c r="N14" s="306">
        <v>0</v>
      </c>
      <c r="O14" s="306" t="s">
        <v>157</v>
      </c>
      <c r="P14" s="306">
        <v>0</v>
      </c>
      <c r="Q14" s="306">
        <v>0</v>
      </c>
      <c r="R14" s="306">
        <v>0</v>
      </c>
      <c r="S14" s="306">
        <v>4475493</v>
      </c>
      <c r="T14" s="306">
        <v>848390</v>
      </c>
      <c r="U14" s="306">
        <v>0</v>
      </c>
      <c r="V14" s="306">
        <v>0</v>
      </c>
      <c r="W14" s="306">
        <v>0</v>
      </c>
      <c r="X14" s="306">
        <v>5323883</v>
      </c>
      <c r="Y14" s="306">
        <f t="shared" si="1"/>
        <v>1362143</v>
      </c>
      <c r="Z14" s="305"/>
      <c r="AA14" s="306">
        <v>1</v>
      </c>
      <c r="AB14" s="306">
        <v>5653060</v>
      </c>
      <c r="AC14" s="306">
        <v>0</v>
      </c>
      <c r="AD14" s="306">
        <v>0</v>
      </c>
      <c r="AE14" s="306">
        <v>0</v>
      </c>
      <c r="AF14" s="306">
        <v>0</v>
      </c>
      <c r="AG14" s="306">
        <v>0</v>
      </c>
      <c r="AH14" s="306">
        <v>0</v>
      </c>
      <c r="AI14" s="306">
        <v>5653061</v>
      </c>
      <c r="AJ14" s="307">
        <f t="shared" si="2"/>
        <v>5653061</v>
      </c>
      <c r="AK14" s="307">
        <f t="shared" si="3"/>
        <v>10976944</v>
      </c>
      <c r="AL14" s="307">
        <v>10534630</v>
      </c>
      <c r="AM14" s="307">
        <f t="shared" si="4"/>
        <v>1362143</v>
      </c>
      <c r="AN14" s="307">
        <f t="shared" si="5"/>
        <v>5653061</v>
      </c>
      <c r="AO14" s="307">
        <f t="shared" si="6"/>
        <v>10976944</v>
      </c>
      <c r="AP14" s="307">
        <f t="shared" si="7"/>
        <v>10534630</v>
      </c>
      <c r="AQ14" s="308">
        <f t="shared" si="8"/>
        <v>586515.9534221863</v>
      </c>
      <c r="AR14" s="309"/>
      <c r="AS14" s="313"/>
      <c r="AT14" s="311">
        <f t="shared" si="9"/>
        <v>0.8852075067484185</v>
      </c>
      <c r="AU14" s="312">
        <f t="shared" si="10"/>
        <v>751001.1966502907</v>
      </c>
    </row>
    <row r="15" spans="1:47" ht="12.75">
      <c r="A15" s="275" t="s">
        <v>11</v>
      </c>
      <c r="B15" s="275">
        <v>1005622</v>
      </c>
      <c r="C15" s="268" t="s">
        <v>118</v>
      </c>
      <c r="D15" s="303">
        <v>41640</v>
      </c>
      <c r="E15" s="303">
        <v>42004</v>
      </c>
      <c r="F15" s="304">
        <f t="shared" si="0"/>
        <v>365</v>
      </c>
      <c r="G15" s="305"/>
      <c r="H15" s="306">
        <v>5299627</v>
      </c>
      <c r="I15" s="306">
        <v>0</v>
      </c>
      <c r="J15" s="306">
        <v>0</v>
      </c>
      <c r="K15" s="306">
        <v>604308</v>
      </c>
      <c r="L15" s="306">
        <v>7118043</v>
      </c>
      <c r="M15" s="306">
        <v>13021978</v>
      </c>
      <c r="N15" s="306">
        <v>907850</v>
      </c>
      <c r="O15" s="306" t="s">
        <v>157</v>
      </c>
      <c r="P15" s="306">
        <v>0</v>
      </c>
      <c r="Q15" s="306">
        <v>0</v>
      </c>
      <c r="R15" s="306">
        <v>907850</v>
      </c>
      <c r="S15" s="306">
        <v>13929828</v>
      </c>
      <c r="T15" s="306">
        <v>10416404</v>
      </c>
      <c r="U15" s="306">
        <v>202</v>
      </c>
      <c r="V15" s="306">
        <v>0</v>
      </c>
      <c r="W15" s="306">
        <v>0</v>
      </c>
      <c r="X15" s="306">
        <v>24346434</v>
      </c>
      <c r="Y15" s="306">
        <f t="shared" si="1"/>
        <v>16624083</v>
      </c>
      <c r="Z15" s="305"/>
      <c r="AA15" s="306">
        <v>40202662</v>
      </c>
      <c r="AB15" s="306">
        <v>3576896</v>
      </c>
      <c r="AC15" s="306">
        <v>0</v>
      </c>
      <c r="AD15" s="306">
        <v>295</v>
      </c>
      <c r="AE15" s="306">
        <v>0</v>
      </c>
      <c r="AF15" s="306">
        <v>0</v>
      </c>
      <c r="AG15" s="306">
        <v>0</v>
      </c>
      <c r="AH15" s="306">
        <v>0</v>
      </c>
      <c r="AI15" s="306">
        <v>43779853</v>
      </c>
      <c r="AJ15" s="307">
        <f t="shared" si="2"/>
        <v>43779558</v>
      </c>
      <c r="AK15" s="307">
        <f t="shared" si="3"/>
        <v>68126287</v>
      </c>
      <c r="AL15" s="307">
        <v>37443094</v>
      </c>
      <c r="AM15" s="307">
        <f t="shared" si="4"/>
        <v>16624083</v>
      </c>
      <c r="AN15" s="307">
        <f t="shared" si="5"/>
        <v>43779558</v>
      </c>
      <c r="AO15" s="307">
        <f t="shared" si="6"/>
        <v>68126287</v>
      </c>
      <c r="AP15" s="307">
        <f t="shared" si="7"/>
        <v>37443094</v>
      </c>
      <c r="AQ15" s="308">
        <f t="shared" si="8"/>
        <v>5963019.30895274</v>
      </c>
      <c r="AR15" s="309"/>
      <c r="AS15" s="313"/>
      <c r="AT15" s="311">
        <f t="shared" si="9"/>
        <v>0.554375186829299</v>
      </c>
      <c r="AU15" s="312">
        <f t="shared" si="10"/>
        <v>5774595.913589457</v>
      </c>
    </row>
    <row r="16" spans="1:47" ht="12.75">
      <c r="A16" s="275" t="s">
        <v>18</v>
      </c>
      <c r="B16" s="275">
        <v>1005594</v>
      </c>
      <c r="C16" s="268" t="s">
        <v>42</v>
      </c>
      <c r="D16" s="303">
        <v>41640</v>
      </c>
      <c r="E16" s="303">
        <v>42004</v>
      </c>
      <c r="F16" s="304">
        <f t="shared" si="0"/>
        <v>365</v>
      </c>
      <c r="G16" s="305"/>
      <c r="H16" s="306">
        <v>365925</v>
      </c>
      <c r="I16" s="306">
        <v>0</v>
      </c>
      <c r="J16" s="306">
        <v>0</v>
      </c>
      <c r="K16" s="306">
        <v>686390</v>
      </c>
      <c r="L16" s="306">
        <v>3415980</v>
      </c>
      <c r="M16" s="306">
        <v>4468295</v>
      </c>
      <c r="N16" s="306">
        <v>0</v>
      </c>
      <c r="O16" s="306" t="s">
        <v>157</v>
      </c>
      <c r="P16" s="306">
        <v>0</v>
      </c>
      <c r="Q16" s="306">
        <v>0</v>
      </c>
      <c r="R16" s="306">
        <v>0</v>
      </c>
      <c r="S16" s="306">
        <v>4468295</v>
      </c>
      <c r="T16" s="306">
        <v>715876</v>
      </c>
      <c r="U16" s="306">
        <v>0</v>
      </c>
      <c r="V16" s="306">
        <v>0</v>
      </c>
      <c r="W16" s="306">
        <v>0</v>
      </c>
      <c r="X16" s="306">
        <v>5184171</v>
      </c>
      <c r="Y16" s="306">
        <f t="shared" si="1"/>
        <v>1081801</v>
      </c>
      <c r="Z16" s="305"/>
      <c r="AA16" s="306">
        <v>1</v>
      </c>
      <c r="AB16" s="306">
        <v>3300251</v>
      </c>
      <c r="AC16" s="306">
        <v>0</v>
      </c>
      <c r="AD16" s="306">
        <v>0</v>
      </c>
      <c r="AE16" s="306">
        <v>0</v>
      </c>
      <c r="AF16" s="306">
        <v>0</v>
      </c>
      <c r="AG16" s="306">
        <v>223357</v>
      </c>
      <c r="AH16" s="306">
        <v>0</v>
      </c>
      <c r="AI16" s="306">
        <v>3523609</v>
      </c>
      <c r="AJ16" s="307">
        <f t="shared" si="2"/>
        <v>3300252</v>
      </c>
      <c r="AK16" s="307">
        <f t="shared" si="3"/>
        <v>8707780</v>
      </c>
      <c r="AL16" s="307">
        <v>7614423</v>
      </c>
      <c r="AM16" s="307">
        <f t="shared" si="4"/>
        <v>1081801</v>
      </c>
      <c r="AN16" s="307">
        <f t="shared" si="5"/>
        <v>3300252</v>
      </c>
      <c r="AO16" s="307">
        <f t="shared" si="6"/>
        <v>8707780</v>
      </c>
      <c r="AP16" s="307">
        <f t="shared" si="7"/>
        <v>7614423</v>
      </c>
      <c r="AQ16" s="308">
        <f t="shared" si="8"/>
        <v>371243.7176938711</v>
      </c>
      <c r="AR16" s="309"/>
      <c r="AS16" s="313"/>
      <c r="AT16" s="311">
        <f t="shared" si="9"/>
        <v>0.9181063470518397</v>
      </c>
      <c r="AU16" s="312">
        <f t="shared" si="10"/>
        <v>657250.2993020827</v>
      </c>
    </row>
    <row r="17" spans="1:47" ht="12.75">
      <c r="A17" s="275" t="s">
        <v>8</v>
      </c>
      <c r="B17" s="275">
        <v>1005563</v>
      </c>
      <c r="C17" s="268" t="s">
        <v>33</v>
      </c>
      <c r="D17" s="303">
        <v>41456</v>
      </c>
      <c r="E17" s="303">
        <v>41820</v>
      </c>
      <c r="F17" s="304">
        <f t="shared" si="0"/>
        <v>365</v>
      </c>
      <c r="G17" s="305"/>
      <c r="H17" s="306">
        <v>10410077</v>
      </c>
      <c r="I17" s="306">
        <v>0</v>
      </c>
      <c r="J17" s="306">
        <v>0</v>
      </c>
      <c r="K17" s="306">
        <v>0</v>
      </c>
      <c r="L17" s="306">
        <v>7563012</v>
      </c>
      <c r="M17" s="306">
        <v>17973089</v>
      </c>
      <c r="N17" s="306">
        <v>971268</v>
      </c>
      <c r="O17" s="306" t="s">
        <v>157</v>
      </c>
      <c r="P17" s="306">
        <v>0</v>
      </c>
      <c r="Q17" s="306">
        <v>0</v>
      </c>
      <c r="R17" s="306">
        <v>971268</v>
      </c>
      <c r="S17" s="306">
        <v>18944357</v>
      </c>
      <c r="T17" s="306">
        <v>17677257</v>
      </c>
      <c r="U17" s="306">
        <v>0</v>
      </c>
      <c r="V17" s="306">
        <v>0</v>
      </c>
      <c r="W17" s="306">
        <v>0</v>
      </c>
      <c r="X17" s="306">
        <v>36621614</v>
      </c>
      <c r="Y17" s="306">
        <f t="shared" si="1"/>
        <v>29058602</v>
      </c>
      <c r="Z17" s="305"/>
      <c r="AA17" s="306">
        <v>36832363</v>
      </c>
      <c r="AB17" s="306">
        <v>1275841</v>
      </c>
      <c r="AC17" s="306">
        <v>0</v>
      </c>
      <c r="AD17" s="306">
        <v>1176628</v>
      </c>
      <c r="AE17" s="306">
        <v>0</v>
      </c>
      <c r="AF17" s="306">
        <v>0</v>
      </c>
      <c r="AG17" s="306">
        <v>27764797</v>
      </c>
      <c r="AH17" s="306">
        <v>0</v>
      </c>
      <c r="AI17" s="306">
        <v>67049629</v>
      </c>
      <c r="AJ17" s="307">
        <f t="shared" si="2"/>
        <v>38108204</v>
      </c>
      <c r="AK17" s="307">
        <f t="shared" si="3"/>
        <v>103671243</v>
      </c>
      <c r="AL17" s="307">
        <v>63773820</v>
      </c>
      <c r="AM17" s="307">
        <f t="shared" si="4"/>
        <v>29058602.000000004</v>
      </c>
      <c r="AN17" s="307">
        <f t="shared" si="5"/>
        <v>38108204</v>
      </c>
      <c r="AO17" s="307">
        <f t="shared" si="6"/>
        <v>103671243</v>
      </c>
      <c r="AP17" s="307">
        <f t="shared" si="7"/>
        <v>63773819.99999999</v>
      </c>
      <c r="AQ17" s="308">
        <f t="shared" si="8"/>
        <v>13534285.256402273</v>
      </c>
      <c r="AR17" s="309"/>
      <c r="AS17" s="313"/>
      <c r="AT17" s="311">
        <f t="shared" si="9"/>
        <v>0.3992224175251765</v>
      </c>
      <c r="AU17" s="312">
        <f t="shared" si="10"/>
        <v>7057157.274753849</v>
      </c>
    </row>
    <row r="18" spans="1:47" ht="12.75">
      <c r="A18" s="275" t="s">
        <v>13</v>
      </c>
      <c r="B18" s="275">
        <v>1005653</v>
      </c>
      <c r="C18" s="268" t="s">
        <v>37</v>
      </c>
      <c r="D18" s="303">
        <v>41456</v>
      </c>
      <c r="E18" s="303">
        <v>41820</v>
      </c>
      <c r="F18" s="304">
        <f t="shared" si="0"/>
        <v>365</v>
      </c>
      <c r="G18" s="305"/>
      <c r="H18" s="306">
        <v>5344552</v>
      </c>
      <c r="I18" s="306">
        <v>0</v>
      </c>
      <c r="J18" s="306">
        <v>0</v>
      </c>
      <c r="K18" s="306">
        <v>0</v>
      </c>
      <c r="L18" s="306">
        <v>7711380</v>
      </c>
      <c r="M18" s="306">
        <v>13055932</v>
      </c>
      <c r="N18" s="306">
        <v>0</v>
      </c>
      <c r="O18" s="306" t="s">
        <v>157</v>
      </c>
      <c r="P18" s="306">
        <v>0</v>
      </c>
      <c r="Q18" s="306">
        <v>0</v>
      </c>
      <c r="R18" s="306">
        <v>0</v>
      </c>
      <c r="S18" s="306">
        <v>13055932</v>
      </c>
      <c r="T18" s="306">
        <v>10942272</v>
      </c>
      <c r="U18" s="306">
        <v>3331650</v>
      </c>
      <c r="V18" s="306">
        <v>0</v>
      </c>
      <c r="W18" s="306">
        <v>0</v>
      </c>
      <c r="X18" s="306">
        <v>27329854</v>
      </c>
      <c r="Y18" s="306">
        <f t="shared" si="1"/>
        <v>19618474</v>
      </c>
      <c r="Z18" s="305"/>
      <c r="AA18" s="306">
        <v>30699477</v>
      </c>
      <c r="AB18" s="306">
        <v>14165893</v>
      </c>
      <c r="AC18" s="306">
        <v>0</v>
      </c>
      <c r="AD18" s="306">
        <v>495757</v>
      </c>
      <c r="AE18" s="306">
        <v>0</v>
      </c>
      <c r="AF18" s="306">
        <v>0</v>
      </c>
      <c r="AG18" s="306">
        <v>0</v>
      </c>
      <c r="AH18" s="306">
        <v>0</v>
      </c>
      <c r="AI18" s="306">
        <v>45361127</v>
      </c>
      <c r="AJ18" s="307">
        <f t="shared" si="2"/>
        <v>44865370</v>
      </c>
      <c r="AK18" s="307">
        <f t="shared" si="3"/>
        <v>72690981</v>
      </c>
      <c r="AL18" s="307">
        <v>49824156</v>
      </c>
      <c r="AM18" s="307">
        <f t="shared" si="4"/>
        <v>19618474</v>
      </c>
      <c r="AN18" s="307">
        <f t="shared" si="5"/>
        <v>44865370</v>
      </c>
      <c r="AO18" s="307">
        <f t="shared" si="6"/>
        <v>72690981</v>
      </c>
      <c r="AP18" s="307">
        <f t="shared" si="7"/>
        <v>49824156</v>
      </c>
      <c r="AQ18" s="308">
        <f t="shared" si="8"/>
        <v>9017104.701000884</v>
      </c>
      <c r="AR18" s="309"/>
      <c r="AS18" s="313"/>
      <c r="AT18" s="311">
        <f t="shared" si="9"/>
        <v>0.5906418630244091</v>
      </c>
      <c r="AU18" s="312">
        <f t="shared" si="10"/>
        <v>6462963.919799827</v>
      </c>
    </row>
    <row r="19" spans="1:47" ht="12.75">
      <c r="A19" s="275" t="s">
        <v>15</v>
      </c>
      <c r="B19" s="275">
        <v>1006190</v>
      </c>
      <c r="C19" s="268" t="s">
        <v>39</v>
      </c>
      <c r="D19" s="303">
        <v>41640</v>
      </c>
      <c r="E19" s="303">
        <v>42004</v>
      </c>
      <c r="F19" s="304">
        <f t="shared" si="0"/>
        <v>365</v>
      </c>
      <c r="G19" s="305"/>
      <c r="H19" s="306">
        <v>35549473</v>
      </c>
      <c r="I19" s="306">
        <v>0</v>
      </c>
      <c r="J19" s="306">
        <v>0</v>
      </c>
      <c r="K19" s="306">
        <v>1532468</v>
      </c>
      <c r="L19" s="306">
        <v>0</v>
      </c>
      <c r="M19" s="306">
        <v>37081941</v>
      </c>
      <c r="N19" s="306">
        <v>0</v>
      </c>
      <c r="O19" s="306" t="s">
        <v>157</v>
      </c>
      <c r="P19" s="306">
        <v>0</v>
      </c>
      <c r="Q19" s="306">
        <v>0</v>
      </c>
      <c r="R19" s="306">
        <v>0</v>
      </c>
      <c r="S19" s="306">
        <v>37081941</v>
      </c>
      <c r="T19" s="306">
        <v>34307845</v>
      </c>
      <c r="U19" s="306">
        <v>0</v>
      </c>
      <c r="V19" s="306">
        <v>0</v>
      </c>
      <c r="W19" s="306">
        <v>0</v>
      </c>
      <c r="X19" s="306">
        <v>71389786</v>
      </c>
      <c r="Y19" s="306">
        <f t="shared" si="1"/>
        <v>69857318</v>
      </c>
      <c r="Z19" s="305"/>
      <c r="AA19" s="306">
        <v>0</v>
      </c>
      <c r="AB19" s="306">
        <v>0</v>
      </c>
      <c r="AC19" s="306">
        <v>0</v>
      </c>
      <c r="AD19" s="306">
        <v>0</v>
      </c>
      <c r="AE19" s="306">
        <v>0</v>
      </c>
      <c r="AF19" s="306">
        <v>0</v>
      </c>
      <c r="AG19" s="306">
        <v>0</v>
      </c>
      <c r="AH19" s="306">
        <v>0</v>
      </c>
      <c r="AI19" s="306">
        <v>0</v>
      </c>
      <c r="AJ19" s="307">
        <f t="shared" si="2"/>
        <v>0</v>
      </c>
      <c r="AK19" s="307">
        <f t="shared" si="3"/>
        <v>71389786</v>
      </c>
      <c r="AL19" s="307">
        <v>34204651</v>
      </c>
      <c r="AM19" s="307">
        <f t="shared" si="4"/>
        <v>69857318</v>
      </c>
      <c r="AN19" s="307">
        <f t="shared" si="5"/>
        <v>0</v>
      </c>
      <c r="AO19" s="307">
        <f t="shared" si="6"/>
        <v>71389786</v>
      </c>
      <c r="AP19" s="307">
        <f t="shared" si="7"/>
        <v>34204651</v>
      </c>
      <c r="AQ19" s="308">
        <f t="shared" si="8"/>
        <v>32791091.415601004</v>
      </c>
      <c r="AR19" s="309"/>
      <c r="AS19" s="313"/>
      <c r="AT19" s="311">
        <f t="shared" si="9"/>
        <v>0.0413265314240158</v>
      </c>
      <c r="AU19" s="312">
        <f t="shared" si="10"/>
        <v>1417824.2344827633</v>
      </c>
    </row>
    <row r="20" spans="1:47" ht="12.75">
      <c r="A20" s="275" t="s">
        <v>20</v>
      </c>
      <c r="B20" s="275">
        <v>1005540</v>
      </c>
      <c r="C20" s="268" t="s">
        <v>44</v>
      </c>
      <c r="D20" s="303">
        <v>41456</v>
      </c>
      <c r="E20" s="303">
        <v>41820</v>
      </c>
      <c r="F20" s="304">
        <f t="shared" si="0"/>
        <v>365</v>
      </c>
      <c r="G20" s="305"/>
      <c r="H20" s="306">
        <v>0</v>
      </c>
      <c r="I20" s="306">
        <v>0</v>
      </c>
      <c r="J20" s="306">
        <v>0</v>
      </c>
      <c r="K20" s="306">
        <v>0</v>
      </c>
      <c r="L20" s="306">
        <v>0</v>
      </c>
      <c r="M20" s="306">
        <v>0</v>
      </c>
      <c r="N20" s="306">
        <v>0</v>
      </c>
      <c r="O20" s="306" t="s">
        <v>157</v>
      </c>
      <c r="P20" s="306">
        <v>0</v>
      </c>
      <c r="Q20" s="306">
        <v>0</v>
      </c>
      <c r="R20" s="306">
        <v>0</v>
      </c>
      <c r="S20" s="306">
        <v>0</v>
      </c>
      <c r="T20" s="306">
        <v>0</v>
      </c>
      <c r="U20" s="306">
        <v>0</v>
      </c>
      <c r="V20" s="306">
        <v>0</v>
      </c>
      <c r="W20" s="306">
        <v>0</v>
      </c>
      <c r="X20" s="306">
        <v>0</v>
      </c>
      <c r="Y20" s="306">
        <f t="shared" si="1"/>
        <v>0</v>
      </c>
      <c r="Z20" s="305"/>
      <c r="AA20" s="306">
        <v>0</v>
      </c>
      <c r="AB20" s="306">
        <v>0</v>
      </c>
      <c r="AC20" s="306">
        <v>0</v>
      </c>
      <c r="AD20" s="306">
        <v>0</v>
      </c>
      <c r="AE20" s="306">
        <v>0</v>
      </c>
      <c r="AF20" s="306">
        <v>0</v>
      </c>
      <c r="AG20" s="306">
        <v>0</v>
      </c>
      <c r="AH20" s="306">
        <v>0</v>
      </c>
      <c r="AI20" s="306">
        <v>0</v>
      </c>
      <c r="AJ20" s="307">
        <f t="shared" si="2"/>
        <v>0</v>
      </c>
      <c r="AK20" s="307">
        <f t="shared" si="3"/>
        <v>0</v>
      </c>
      <c r="AL20" s="307">
        <v>0</v>
      </c>
      <c r="AM20" s="307">
        <f t="shared" si="4"/>
        <v>0</v>
      </c>
      <c r="AN20" s="307">
        <f t="shared" si="5"/>
        <v>0</v>
      </c>
      <c r="AO20" s="307">
        <f t="shared" si="6"/>
        <v>0</v>
      </c>
      <c r="AP20" s="307">
        <f t="shared" si="7"/>
        <v>0</v>
      </c>
      <c r="AQ20" s="314">
        <f>VLOOKUP(A20,Data!$A$23:$BI$30,60,FALSE)</f>
        <v>27244518</v>
      </c>
      <c r="AR20" s="309"/>
      <c r="AS20" s="313"/>
      <c r="AT20" s="311">
        <f t="shared" si="9"/>
        <v>0</v>
      </c>
      <c r="AU20" s="312">
        <f t="shared" si="10"/>
        <v>0</v>
      </c>
    </row>
    <row r="21" spans="1:47" ht="12.75">
      <c r="A21" s="275" t="s">
        <v>21</v>
      </c>
      <c r="B21" s="275">
        <v>1005826</v>
      </c>
      <c r="C21" s="268" t="s">
        <v>45</v>
      </c>
      <c r="D21" s="303">
        <v>41640</v>
      </c>
      <c r="E21" s="303">
        <v>42004</v>
      </c>
      <c r="F21" s="304">
        <f t="shared" si="0"/>
        <v>365</v>
      </c>
      <c r="G21" s="305"/>
      <c r="H21" s="306">
        <v>80658840</v>
      </c>
      <c r="I21" s="306">
        <v>0</v>
      </c>
      <c r="J21" s="306">
        <v>0</v>
      </c>
      <c r="K21" s="306">
        <v>0</v>
      </c>
      <c r="L21" s="306">
        <v>0</v>
      </c>
      <c r="M21" s="306">
        <v>80658840</v>
      </c>
      <c r="N21" s="306">
        <v>0</v>
      </c>
      <c r="O21" s="306" t="s">
        <v>157</v>
      </c>
      <c r="P21" s="306">
        <v>0</v>
      </c>
      <c r="Q21" s="306">
        <v>0</v>
      </c>
      <c r="R21" s="306">
        <v>0</v>
      </c>
      <c r="S21" s="306">
        <v>80658840</v>
      </c>
      <c r="T21" s="306">
        <v>0</v>
      </c>
      <c r="U21" s="306">
        <v>0</v>
      </c>
      <c r="V21" s="306">
        <v>0</v>
      </c>
      <c r="W21" s="306">
        <v>0</v>
      </c>
      <c r="X21" s="306">
        <v>80658840</v>
      </c>
      <c r="Y21" s="306">
        <f t="shared" si="1"/>
        <v>80658840</v>
      </c>
      <c r="Z21" s="305"/>
      <c r="AA21" s="306">
        <v>0</v>
      </c>
      <c r="AB21" s="306">
        <v>0</v>
      </c>
      <c r="AC21" s="306">
        <v>0</v>
      </c>
      <c r="AD21" s="306">
        <v>0</v>
      </c>
      <c r="AE21" s="306">
        <v>0</v>
      </c>
      <c r="AF21" s="306">
        <v>0</v>
      </c>
      <c r="AG21" s="306">
        <v>0</v>
      </c>
      <c r="AH21" s="306">
        <v>0</v>
      </c>
      <c r="AI21" s="306">
        <v>0</v>
      </c>
      <c r="AJ21" s="307">
        <f t="shared" si="2"/>
        <v>0</v>
      </c>
      <c r="AK21" s="307">
        <f t="shared" si="3"/>
        <v>80658840</v>
      </c>
      <c r="AL21" s="307">
        <v>25641651</v>
      </c>
      <c r="AM21" s="307">
        <f t="shared" si="4"/>
        <v>80658840</v>
      </c>
      <c r="AN21" s="307">
        <f t="shared" si="5"/>
        <v>0</v>
      </c>
      <c r="AO21" s="307">
        <f t="shared" si="6"/>
        <v>80658840</v>
      </c>
      <c r="AP21" s="307">
        <f t="shared" si="7"/>
        <v>25641651</v>
      </c>
      <c r="AQ21" s="308">
        <f t="shared" si="8"/>
        <v>25641651</v>
      </c>
      <c r="AR21" s="309"/>
      <c r="AS21" s="313"/>
      <c r="AT21" s="311">
        <f t="shared" si="9"/>
        <v>0</v>
      </c>
      <c r="AU21" s="312">
        <f t="shared" si="10"/>
        <v>0</v>
      </c>
    </row>
    <row r="22" spans="1:47" ht="14.25">
      <c r="A22" s="85" t="s">
        <v>24</v>
      </c>
      <c r="B22" s="86">
        <v>1005573</v>
      </c>
      <c r="C22" s="87" t="s">
        <v>48</v>
      </c>
      <c r="D22" s="303">
        <v>41548</v>
      </c>
      <c r="E22" s="303">
        <v>41912</v>
      </c>
      <c r="F22" s="304">
        <f t="shared" si="0"/>
        <v>365</v>
      </c>
      <c r="G22" s="273"/>
      <c r="H22" s="306"/>
      <c r="I22" s="306"/>
      <c r="J22" s="306"/>
      <c r="K22" s="306"/>
      <c r="L22" s="306"/>
      <c r="M22" s="306"/>
      <c r="N22" s="306"/>
      <c r="O22" s="306"/>
      <c r="P22" s="306"/>
      <c r="Q22" s="306"/>
      <c r="R22" s="306"/>
      <c r="S22" s="306"/>
      <c r="T22" s="306"/>
      <c r="U22" s="306"/>
      <c r="V22" s="306"/>
      <c r="W22" s="306"/>
      <c r="X22" s="306"/>
      <c r="Y22" s="306"/>
      <c r="Z22" s="273"/>
      <c r="AA22" s="306"/>
      <c r="AB22" s="306"/>
      <c r="AC22" s="306"/>
      <c r="AD22" s="306"/>
      <c r="AE22" s="306"/>
      <c r="AF22" s="306"/>
      <c r="AG22" s="306"/>
      <c r="AH22" s="306"/>
      <c r="AI22" s="306"/>
      <c r="AK22" s="307"/>
      <c r="AL22" s="268"/>
      <c r="AM22" s="268"/>
      <c r="AN22" s="268"/>
      <c r="AO22" s="268"/>
      <c r="AP22" s="268"/>
      <c r="AQ22" s="314">
        <f>VLOOKUP(A22,Data!$A$23:$BI$30,60,FALSE)</f>
        <v>112160</v>
      </c>
      <c r="AR22" s="314"/>
      <c r="AS22" s="285"/>
      <c r="AT22" s="268"/>
      <c r="AU22" s="268"/>
    </row>
    <row r="23" spans="1:47" ht="14.25">
      <c r="A23" s="85" t="s">
        <v>22</v>
      </c>
      <c r="B23" s="86">
        <v>1005643</v>
      </c>
      <c r="C23" s="87" t="s">
        <v>46</v>
      </c>
      <c r="D23" s="303">
        <v>41548</v>
      </c>
      <c r="E23" s="303">
        <v>41912</v>
      </c>
      <c r="F23" s="304">
        <f t="shared" si="0"/>
        <v>365</v>
      </c>
      <c r="G23" s="273"/>
      <c r="H23" s="306"/>
      <c r="I23" s="306"/>
      <c r="J23" s="306"/>
      <c r="K23" s="306"/>
      <c r="L23" s="306"/>
      <c r="M23" s="306"/>
      <c r="N23" s="306"/>
      <c r="O23" s="306"/>
      <c r="P23" s="306"/>
      <c r="Q23" s="306"/>
      <c r="R23" s="306"/>
      <c r="S23" s="306"/>
      <c r="T23" s="306"/>
      <c r="U23" s="306"/>
      <c r="V23" s="306"/>
      <c r="W23" s="306"/>
      <c r="X23" s="306"/>
      <c r="Y23" s="306"/>
      <c r="Z23" s="273"/>
      <c r="AA23" s="306"/>
      <c r="AB23" s="306"/>
      <c r="AC23" s="306"/>
      <c r="AD23" s="306"/>
      <c r="AE23" s="306"/>
      <c r="AF23" s="306"/>
      <c r="AG23" s="306"/>
      <c r="AH23" s="306"/>
      <c r="AI23" s="306"/>
      <c r="AK23" s="307"/>
      <c r="AL23" s="268"/>
      <c r="AM23" s="268"/>
      <c r="AN23" s="268"/>
      <c r="AO23" s="268"/>
      <c r="AP23" s="268"/>
      <c r="AQ23" s="314">
        <f>VLOOKUP(A23,Data!$A$23:$BI$30,60,FALSE)</f>
        <v>712836</v>
      </c>
      <c r="AR23" s="314"/>
      <c r="AS23" s="285"/>
      <c r="AT23" s="268"/>
      <c r="AU23" s="268"/>
    </row>
    <row r="24" spans="1:47" ht="14.25">
      <c r="A24" s="85" t="s">
        <v>27</v>
      </c>
      <c r="B24" s="86">
        <v>1005604</v>
      </c>
      <c r="C24" s="87" t="s">
        <v>51</v>
      </c>
      <c r="D24" s="303">
        <v>41548</v>
      </c>
      <c r="E24" s="303">
        <v>41912</v>
      </c>
      <c r="F24" s="304">
        <f t="shared" si="0"/>
        <v>365</v>
      </c>
      <c r="G24" s="273"/>
      <c r="H24" s="306"/>
      <c r="I24" s="306"/>
      <c r="J24" s="306"/>
      <c r="K24" s="306"/>
      <c r="L24" s="306"/>
      <c r="M24" s="306"/>
      <c r="N24" s="306"/>
      <c r="O24" s="306"/>
      <c r="P24" s="306"/>
      <c r="Q24" s="306"/>
      <c r="R24" s="306"/>
      <c r="S24" s="306"/>
      <c r="T24" s="306"/>
      <c r="U24" s="306"/>
      <c r="V24" s="306"/>
      <c r="W24" s="306"/>
      <c r="X24" s="306"/>
      <c r="Y24" s="306"/>
      <c r="Z24" s="273"/>
      <c r="AA24" s="306"/>
      <c r="AB24" s="306"/>
      <c r="AC24" s="306"/>
      <c r="AD24" s="306"/>
      <c r="AE24" s="306"/>
      <c r="AF24" s="306"/>
      <c r="AG24" s="306"/>
      <c r="AH24" s="306"/>
      <c r="AI24" s="306"/>
      <c r="AK24" s="307"/>
      <c r="AL24" s="268"/>
      <c r="AM24" s="268"/>
      <c r="AN24" s="268"/>
      <c r="AO24" s="268"/>
      <c r="AP24" s="268"/>
      <c r="AQ24" s="314">
        <f>VLOOKUP(A24,Data!$A$23:$BI$30,60,FALSE)</f>
        <v>8128879</v>
      </c>
      <c r="AR24" s="314"/>
      <c r="AS24" s="285"/>
      <c r="AT24" s="268"/>
      <c r="AU24" s="268"/>
    </row>
    <row r="25" spans="1:47" ht="12.75">
      <c r="A25" s="275" t="s">
        <v>28</v>
      </c>
      <c r="B25" s="275">
        <v>1005753</v>
      </c>
      <c r="C25" s="268" t="s">
        <v>52</v>
      </c>
      <c r="D25" s="303">
        <v>41548</v>
      </c>
      <c r="E25" s="303">
        <v>41912</v>
      </c>
      <c r="F25" s="304">
        <f t="shared" si="0"/>
        <v>365</v>
      </c>
      <c r="G25" s="305"/>
      <c r="H25" s="306">
        <v>10069387</v>
      </c>
      <c r="I25" s="306">
        <v>0</v>
      </c>
      <c r="J25" s="306">
        <v>0</v>
      </c>
      <c r="K25" s="306">
        <v>0</v>
      </c>
      <c r="L25" s="306">
        <v>6825378</v>
      </c>
      <c r="M25" s="306">
        <v>16894765</v>
      </c>
      <c r="N25" s="306">
        <v>0</v>
      </c>
      <c r="O25" s="306" t="s">
        <v>157</v>
      </c>
      <c r="P25" s="306">
        <v>0</v>
      </c>
      <c r="Q25" s="306">
        <v>0</v>
      </c>
      <c r="R25" s="306">
        <v>0</v>
      </c>
      <c r="S25" s="306">
        <v>16894765</v>
      </c>
      <c r="T25" s="306">
        <v>4136411</v>
      </c>
      <c r="U25" s="306">
        <v>0</v>
      </c>
      <c r="V25" s="306">
        <v>0</v>
      </c>
      <c r="W25" s="306">
        <v>0</v>
      </c>
      <c r="X25" s="306">
        <v>21031176</v>
      </c>
      <c r="Y25" s="306">
        <f>H25+I25+J25+R25+T25+U25</f>
        <v>14205798</v>
      </c>
      <c r="Z25" s="305"/>
      <c r="AA25" s="306">
        <v>59683084</v>
      </c>
      <c r="AB25" s="306">
        <v>1</v>
      </c>
      <c r="AC25" s="306">
        <v>0</v>
      </c>
      <c r="AD25" s="306">
        <v>0</v>
      </c>
      <c r="AE25" s="306">
        <v>11432017</v>
      </c>
      <c r="AF25" s="306">
        <v>0</v>
      </c>
      <c r="AG25" s="306">
        <v>0</v>
      </c>
      <c r="AH25" s="306">
        <v>0</v>
      </c>
      <c r="AI25" s="306">
        <v>71115102</v>
      </c>
      <c r="AJ25" s="307">
        <f>AA25+AB25</f>
        <v>59683085</v>
      </c>
      <c r="AK25" s="307">
        <f>X25+AI25</f>
        <v>92146278</v>
      </c>
      <c r="AL25" s="307">
        <v>80587968</v>
      </c>
      <c r="AM25" s="307">
        <f>Y25/F25*365</f>
        <v>14205798</v>
      </c>
      <c r="AN25" s="307">
        <f>_xlfn.IFERROR(AJ25/F25*365,0)</f>
        <v>59683085</v>
      </c>
      <c r="AO25" s="307">
        <f>_xlfn.IFERROR(AK25/F25*365,0)</f>
        <v>92146278</v>
      </c>
      <c r="AP25" s="307">
        <f>_xlfn.IFERROR(AL25/F25*365,0)</f>
        <v>80587968</v>
      </c>
      <c r="AQ25" s="308">
        <f>_xlfn.IFERROR(((AM25-AU25)/AO25)*AP25,0)</f>
        <v>10962430.23785686</v>
      </c>
      <c r="AR25" s="309"/>
      <c r="AS25" s="313"/>
      <c r="AT25" s="311">
        <f>_xlfn.IFERROR((K25+L25)/S25,0)</f>
        <v>0.40399366312582624</v>
      </c>
      <c r="AU25" s="312">
        <f>AT25*T25</f>
        <v>1671083.8320839622</v>
      </c>
    </row>
    <row r="26" spans="1:47" ht="14.25">
      <c r="A26" s="85" t="s">
        <v>25</v>
      </c>
      <c r="B26" s="86">
        <v>1005794</v>
      </c>
      <c r="C26" s="87" t="s">
        <v>49</v>
      </c>
      <c r="D26" s="303">
        <v>41548</v>
      </c>
      <c r="E26" s="303">
        <v>41912</v>
      </c>
      <c r="F26" s="304">
        <f t="shared" si="0"/>
        <v>365</v>
      </c>
      <c r="G26" s="273"/>
      <c r="H26" s="306"/>
      <c r="I26" s="306"/>
      <c r="J26" s="306"/>
      <c r="K26" s="306"/>
      <c r="L26" s="306"/>
      <c r="M26" s="306"/>
      <c r="N26" s="306"/>
      <c r="O26" s="306"/>
      <c r="P26" s="306"/>
      <c r="Q26" s="306"/>
      <c r="R26" s="306"/>
      <c r="S26" s="306"/>
      <c r="T26" s="306"/>
      <c r="U26" s="306"/>
      <c r="V26" s="306"/>
      <c r="W26" s="306"/>
      <c r="X26" s="306"/>
      <c r="Y26" s="306"/>
      <c r="Z26" s="273"/>
      <c r="AA26" s="306"/>
      <c r="AB26" s="306"/>
      <c r="AC26" s="306"/>
      <c r="AD26" s="306"/>
      <c r="AE26" s="306"/>
      <c r="AF26" s="306"/>
      <c r="AG26" s="306"/>
      <c r="AH26" s="306"/>
      <c r="AI26" s="306"/>
      <c r="AK26" s="307"/>
      <c r="AL26" s="268"/>
      <c r="AM26" s="268"/>
      <c r="AN26" s="268"/>
      <c r="AO26" s="268"/>
      <c r="AP26" s="268"/>
      <c r="AQ26" s="314">
        <f>VLOOKUP(A26,Data!$A$23:$BI$30,60,FALSE)</f>
        <v>10109</v>
      </c>
      <c r="AR26" s="314"/>
      <c r="AS26" s="285"/>
      <c r="AT26" s="268"/>
      <c r="AU26" s="268"/>
    </row>
    <row r="27" spans="1:47" ht="14.25">
      <c r="A27" s="85" t="s">
        <v>26</v>
      </c>
      <c r="B27" s="86">
        <v>1005681</v>
      </c>
      <c r="C27" s="87" t="s">
        <v>50</v>
      </c>
      <c r="D27" s="303">
        <v>41548</v>
      </c>
      <c r="E27" s="303">
        <v>41912</v>
      </c>
      <c r="F27" s="304">
        <f t="shared" si="0"/>
        <v>365</v>
      </c>
      <c r="G27" s="273"/>
      <c r="H27" s="306"/>
      <c r="I27" s="306"/>
      <c r="J27" s="306"/>
      <c r="K27" s="306"/>
      <c r="L27" s="306"/>
      <c r="M27" s="306"/>
      <c r="N27" s="306"/>
      <c r="O27" s="306"/>
      <c r="P27" s="306"/>
      <c r="Q27" s="306"/>
      <c r="R27" s="306"/>
      <c r="S27" s="306"/>
      <c r="T27" s="306"/>
      <c r="U27" s="306"/>
      <c r="V27" s="306"/>
      <c r="W27" s="306"/>
      <c r="X27" s="306"/>
      <c r="Y27" s="306"/>
      <c r="Z27" s="273"/>
      <c r="AA27" s="306"/>
      <c r="AB27" s="306"/>
      <c r="AC27" s="306"/>
      <c r="AD27" s="306"/>
      <c r="AE27" s="306"/>
      <c r="AF27" s="306"/>
      <c r="AG27" s="306"/>
      <c r="AH27" s="306"/>
      <c r="AI27" s="306"/>
      <c r="AK27" s="307"/>
      <c r="AL27" s="268"/>
      <c r="AM27" s="268"/>
      <c r="AN27" s="268"/>
      <c r="AO27" s="268"/>
      <c r="AP27" s="268"/>
      <c r="AQ27" s="314">
        <f>VLOOKUP(A27,Data!$A$23:$BI$30,60,FALSE)</f>
        <v>14790</v>
      </c>
      <c r="AR27" s="314"/>
      <c r="AS27" s="285"/>
      <c r="AT27" s="268"/>
      <c r="AU27" s="268"/>
    </row>
    <row r="28" spans="1:47" ht="14.25">
      <c r="A28" s="85" t="s">
        <v>23</v>
      </c>
      <c r="B28" s="86">
        <v>1005774</v>
      </c>
      <c r="C28" s="87" t="s">
        <v>47</v>
      </c>
      <c r="D28" s="303">
        <v>41548</v>
      </c>
      <c r="E28" s="303">
        <v>41912</v>
      </c>
      <c r="F28" s="304">
        <f t="shared" si="0"/>
        <v>365</v>
      </c>
      <c r="G28" s="273"/>
      <c r="H28" s="306"/>
      <c r="I28" s="306"/>
      <c r="J28" s="306"/>
      <c r="K28" s="306"/>
      <c r="L28" s="306"/>
      <c r="M28" s="306"/>
      <c r="N28" s="306"/>
      <c r="O28" s="306"/>
      <c r="P28" s="306"/>
      <c r="Q28" s="306"/>
      <c r="R28" s="306"/>
      <c r="S28" s="306"/>
      <c r="T28" s="306"/>
      <c r="U28" s="306"/>
      <c r="V28" s="306"/>
      <c r="W28" s="306"/>
      <c r="X28" s="306"/>
      <c r="Y28" s="306"/>
      <c r="Z28" s="273"/>
      <c r="AA28" s="306"/>
      <c r="AB28" s="306"/>
      <c r="AC28" s="306"/>
      <c r="AD28" s="306"/>
      <c r="AE28" s="306"/>
      <c r="AF28" s="306"/>
      <c r="AG28" s="306"/>
      <c r="AH28" s="306"/>
      <c r="AI28" s="306"/>
      <c r="AK28" s="307"/>
      <c r="AL28" s="268"/>
      <c r="AM28" s="268"/>
      <c r="AN28" s="268"/>
      <c r="AO28" s="268"/>
      <c r="AP28" s="268"/>
      <c r="AQ28" s="314">
        <f>VLOOKUP(A28,Data!$A$23:$BI$30,60,FALSE)</f>
        <v>6552</v>
      </c>
      <c r="AR28" s="314"/>
      <c r="AS28" s="285"/>
      <c r="AT28" s="268"/>
      <c r="AU28" s="268"/>
    </row>
    <row r="29" spans="4:47" ht="12.75">
      <c r="D29" s="316"/>
      <c r="F29" s="304"/>
      <c r="G29" s="273"/>
      <c r="H29" s="317">
        <f>SUM(H4:H28)</f>
        <v>608389074</v>
      </c>
      <c r="I29" s="317">
        <f>SUM(I4:I28)</f>
        <v>7728801</v>
      </c>
      <c r="J29" s="317">
        <f>SUM(J4:J28)</f>
        <v>13941983</v>
      </c>
      <c r="K29" s="317">
        <f>SUM(K4:K28)</f>
        <v>7932298</v>
      </c>
      <c r="L29" s="317">
        <f>SUM(L4:L28)</f>
        <v>91936190</v>
      </c>
      <c r="M29" s="317">
        <f>SUM(M4:M28)</f>
        <v>729928346</v>
      </c>
      <c r="N29" s="317">
        <f>SUM(N4:N28)</f>
        <v>136080027</v>
      </c>
      <c r="O29" s="317">
        <f>SUM(O4:O28)</f>
        <v>5337778</v>
      </c>
      <c r="P29" s="317">
        <f>SUM(P4:P28)</f>
        <v>16460307</v>
      </c>
      <c r="Q29" s="317">
        <f>SUM(Q4:Q28)</f>
        <v>114271227</v>
      </c>
      <c r="R29" s="317">
        <f>SUM(R4:R28)</f>
        <v>272149339</v>
      </c>
      <c r="S29" s="317">
        <f>SUM(S4:S28)</f>
        <v>1002077685</v>
      </c>
      <c r="T29" s="317">
        <f>SUM(T4:T28)</f>
        <v>1451171777</v>
      </c>
      <c r="U29" s="317">
        <f>SUM(U4:U28)</f>
        <v>68238213</v>
      </c>
      <c r="V29" s="317">
        <f>SUM(V4:V28)</f>
        <v>17880</v>
      </c>
      <c r="W29" s="317">
        <f>SUM(W4:W28)</f>
        <v>-98116</v>
      </c>
      <c r="X29" s="317">
        <f>SUM(X4:X28)</f>
        <v>2521407439</v>
      </c>
      <c r="Y29" s="317">
        <f>SUM(Y4:Y28)</f>
        <v>2421619187</v>
      </c>
      <c r="Z29" s="273"/>
      <c r="AA29" s="317">
        <f>SUM(AA4:AA28)</f>
        <v>1233393496</v>
      </c>
      <c r="AB29" s="317">
        <f>SUM(AB4:AB28)</f>
        <v>430623556</v>
      </c>
      <c r="AC29" s="317">
        <f>SUM(AC4:AC28)</f>
        <v>0</v>
      </c>
      <c r="AD29" s="317">
        <f aca="true" t="shared" si="11" ref="AD29:AO29">SUM(AD4:AD28)</f>
        <v>3341927</v>
      </c>
      <c r="AE29" s="317">
        <f t="shared" si="11"/>
        <v>17592089</v>
      </c>
      <c r="AF29" s="317">
        <f t="shared" si="11"/>
        <v>1623785</v>
      </c>
      <c r="AG29" s="317">
        <f t="shared" si="11"/>
        <v>77312422</v>
      </c>
      <c r="AH29" s="317">
        <f t="shared" si="11"/>
        <v>0</v>
      </c>
      <c r="AI29" s="317">
        <f t="shared" si="11"/>
        <v>1763887275</v>
      </c>
      <c r="AJ29" s="317">
        <f t="shared" si="11"/>
        <v>1664017052</v>
      </c>
      <c r="AK29" s="317">
        <f t="shared" si="11"/>
        <v>4285294714</v>
      </c>
      <c r="AL29" s="317">
        <f t="shared" si="11"/>
        <v>1826481471</v>
      </c>
      <c r="AM29" s="317">
        <f t="shared" si="11"/>
        <v>2421619187</v>
      </c>
      <c r="AN29" s="317">
        <f t="shared" si="11"/>
        <v>1664017052</v>
      </c>
      <c r="AO29" s="317">
        <f t="shared" si="11"/>
        <v>4285294714</v>
      </c>
      <c r="AP29" s="317">
        <f>SUM(AP4:AP28)</f>
        <v>1826481471</v>
      </c>
      <c r="AQ29" s="318">
        <f>SUM(AQ4:AQ28)</f>
        <v>932000913.850765</v>
      </c>
      <c r="AR29" s="319"/>
      <c r="AS29" s="285"/>
      <c r="AT29" s="268"/>
      <c r="AU29" s="317">
        <f>SUM(AU4:AU28)</f>
        <v>67618794.47256523</v>
      </c>
    </row>
    <row r="30" spans="4:37" ht="14.25">
      <c r="D30" s="316"/>
      <c r="F30" s="304"/>
      <c r="H30" s="320" t="s">
        <v>157</v>
      </c>
      <c r="I30" s="320" t="s">
        <v>157</v>
      </c>
      <c r="J30" s="320" t="s">
        <v>157</v>
      </c>
      <c r="K30" s="320" t="s">
        <v>157</v>
      </c>
      <c r="L30" s="320" t="s">
        <v>157</v>
      </c>
      <c r="M30" s="320" t="s">
        <v>157</v>
      </c>
      <c r="N30" s="320" t="s">
        <v>157</v>
      </c>
      <c r="O30" s="320" t="s">
        <v>157</v>
      </c>
      <c r="P30" s="320" t="s">
        <v>157</v>
      </c>
      <c r="Q30" s="320" t="s">
        <v>157</v>
      </c>
      <c r="R30" s="320" t="s">
        <v>157</v>
      </c>
      <c r="S30" s="320" t="s">
        <v>157</v>
      </c>
      <c r="T30" s="320" t="s">
        <v>157</v>
      </c>
      <c r="U30" s="320" t="s">
        <v>157</v>
      </c>
      <c r="V30" s="320" t="s">
        <v>157</v>
      </c>
      <c r="W30" s="320" t="s">
        <v>157</v>
      </c>
      <c r="X30" s="320" t="s">
        <v>157</v>
      </c>
      <c r="Y30" s="320"/>
      <c r="AA30" s="320" t="s">
        <v>157</v>
      </c>
      <c r="AB30" s="320" t="s">
        <v>157</v>
      </c>
      <c r="AC30" s="320"/>
      <c r="AD30" s="320" t="s">
        <v>157</v>
      </c>
      <c r="AE30" s="320" t="s">
        <v>157</v>
      </c>
      <c r="AF30" s="320" t="s">
        <v>157</v>
      </c>
      <c r="AG30" s="320" t="s">
        <v>157</v>
      </c>
      <c r="AH30" s="320"/>
      <c r="AI30" s="320" t="s">
        <v>157</v>
      </c>
      <c r="AK30" s="307"/>
    </row>
    <row r="31" spans="8:35" ht="13.5">
      <c r="H31" s="320"/>
      <c r="I31" s="320"/>
      <c r="J31" s="320"/>
      <c r="K31" s="320"/>
      <c r="L31" s="320"/>
      <c r="M31" s="320"/>
      <c r="N31" s="320"/>
      <c r="O31" s="320"/>
      <c r="P31" s="320"/>
      <c r="Q31" s="320"/>
      <c r="R31" s="320"/>
      <c r="S31" s="320"/>
      <c r="T31" s="320"/>
      <c r="U31" s="320"/>
      <c r="V31" s="320"/>
      <c r="W31" s="320"/>
      <c r="X31" s="320"/>
      <c r="Y31" s="320"/>
      <c r="AA31" s="320"/>
      <c r="AB31" s="320"/>
      <c r="AC31" s="320"/>
      <c r="AD31" s="320"/>
      <c r="AE31" s="320"/>
      <c r="AF31" s="320"/>
      <c r="AG31" s="320"/>
      <c r="AH31" s="320"/>
      <c r="AI31" s="320"/>
    </row>
    <row r="32" spans="8:35" ht="13.5">
      <c r="H32" s="320"/>
      <c r="I32" s="320"/>
      <c r="J32" s="320"/>
      <c r="K32" s="320"/>
      <c r="L32" s="320"/>
      <c r="M32" s="320"/>
      <c r="N32" s="320"/>
      <c r="O32" s="320"/>
      <c r="P32" s="320"/>
      <c r="Q32" s="320"/>
      <c r="R32" s="320"/>
      <c r="S32" s="320"/>
      <c r="T32" s="320"/>
      <c r="U32" s="320"/>
      <c r="V32" s="320"/>
      <c r="W32" s="320"/>
      <c r="X32" s="320"/>
      <c r="Y32" s="320"/>
      <c r="AA32" s="320"/>
      <c r="AB32" s="320"/>
      <c r="AC32" s="320"/>
      <c r="AD32" s="320"/>
      <c r="AE32" s="320"/>
      <c r="AF32" s="320"/>
      <c r="AG32" s="320"/>
      <c r="AH32" s="320"/>
      <c r="AI32" s="320"/>
    </row>
  </sheetData>
  <sheetProtection password="EE05" sheet="1" objects="1" scenarios="1"/>
  <printOptions/>
  <pageMargins left="0.2" right="0.2" top="0.75" bottom="0.5" header="0.3" footer="0.17"/>
  <pageSetup fitToWidth="3" fitToHeight="1" horizontalDpi="600" verticalDpi="600" orientation="landscape" scale="58" r:id="rId1"/>
  <headerFooter>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42" sqref="A42"/>
    </sheetView>
  </sheetViews>
  <sheetFormatPr defaultColWidth="9.140625" defaultRowHeight="15"/>
  <cols>
    <col min="1" max="1" width="9.57421875" style="60" customWidth="1"/>
    <col min="2" max="2" width="43.8515625" style="60" bestFit="1" customWidth="1"/>
    <col min="3" max="3" width="9.140625" style="60" customWidth="1"/>
    <col min="4" max="5" width="10.7109375" style="60" bestFit="1" customWidth="1"/>
    <col min="6" max="6" width="12.421875" style="60" bestFit="1" customWidth="1"/>
    <col min="7" max="16384" width="9.140625" style="60" customWidth="1"/>
  </cols>
  <sheetData>
    <row r="1" spans="1:6" ht="15.75">
      <c r="A1" s="420" t="s">
        <v>336</v>
      </c>
      <c r="D1" s="269" t="s">
        <v>342</v>
      </c>
      <c r="E1" s="270">
        <f>'Parameters and Analysis'!C3</f>
        <v>42433</v>
      </c>
      <c r="F1" s="396"/>
    </row>
    <row r="2" spans="1:5" ht="12.75">
      <c r="A2" s="321"/>
      <c r="D2" s="269" t="s">
        <v>343</v>
      </c>
      <c r="E2" s="287">
        <f>'Parameters and Analysis'!C4</f>
        <v>2</v>
      </c>
    </row>
    <row r="4" ht="15.75">
      <c r="A4" s="332" t="s">
        <v>382</v>
      </c>
    </row>
    <row r="5" ht="12.75">
      <c r="A5" s="405"/>
    </row>
    <row r="6" spans="1:6" ht="12.75">
      <c r="A6" s="405"/>
      <c r="B6" s="421"/>
      <c r="C6" s="421"/>
      <c r="D6" s="440" t="s">
        <v>89</v>
      </c>
      <c r="E6" s="440"/>
      <c r="F6" s="440"/>
    </row>
    <row r="7" spans="1:6" ht="28.5" customHeight="1" thickBot="1">
      <c r="A7" s="422" t="s">
        <v>56</v>
      </c>
      <c r="B7" s="422" t="s">
        <v>141</v>
      </c>
      <c r="C7" s="422" t="s">
        <v>254</v>
      </c>
      <c r="D7" s="423" t="s">
        <v>255</v>
      </c>
      <c r="E7" s="423" t="s">
        <v>256</v>
      </c>
      <c r="F7" s="423" t="s">
        <v>257</v>
      </c>
    </row>
    <row r="8" spans="1:6" ht="12.75" hidden="1">
      <c r="A8" s="421" t="s">
        <v>389</v>
      </c>
      <c r="B8" s="421" t="s">
        <v>390</v>
      </c>
      <c r="C8" s="421" t="s">
        <v>258</v>
      </c>
      <c r="D8" s="424">
        <v>3389021.223867959</v>
      </c>
      <c r="E8" s="424">
        <v>2695303.839999974</v>
      </c>
      <c r="F8" s="424">
        <f>D8-E8</f>
        <v>693717.3838679851</v>
      </c>
    </row>
    <row r="9" spans="1:6" ht="12.75">
      <c r="A9" s="421"/>
      <c r="B9" s="115" t="s">
        <v>259</v>
      </c>
      <c r="C9" s="421"/>
      <c r="D9" s="425"/>
      <c r="E9" s="425"/>
      <c r="F9" s="426">
        <v>268650</v>
      </c>
    </row>
    <row r="10" spans="1:6" ht="12.75">
      <c r="A10" s="421"/>
      <c r="B10" s="421"/>
      <c r="C10" s="421"/>
      <c r="D10" s="425"/>
      <c r="E10" s="425"/>
      <c r="F10" s="425"/>
    </row>
    <row r="11" spans="1:6" ht="12.75" hidden="1">
      <c r="A11" s="421" t="s">
        <v>391</v>
      </c>
      <c r="B11" s="421" t="s">
        <v>392</v>
      </c>
      <c r="C11" s="421" t="s">
        <v>117</v>
      </c>
      <c r="D11" s="424">
        <v>8029409</v>
      </c>
      <c r="E11" s="424">
        <v>4944711</v>
      </c>
      <c r="F11" s="424">
        <f aca="true" t="shared" si="0" ref="F11:F20">D11-E11</f>
        <v>3084698</v>
      </c>
    </row>
    <row r="12" spans="1:6" ht="12.75" hidden="1">
      <c r="A12" s="421" t="s">
        <v>393</v>
      </c>
      <c r="B12" s="421" t="s">
        <v>394</v>
      </c>
      <c r="C12" s="421" t="s">
        <v>117</v>
      </c>
      <c r="D12" s="424">
        <v>7791774</v>
      </c>
      <c r="E12" s="424">
        <v>6236913</v>
      </c>
      <c r="F12" s="424">
        <f t="shared" si="0"/>
        <v>1554861</v>
      </c>
    </row>
    <row r="13" spans="1:6" ht="12.75" hidden="1">
      <c r="A13" s="421" t="s">
        <v>395</v>
      </c>
      <c r="B13" s="421" t="s">
        <v>396</v>
      </c>
      <c r="C13" s="421" t="s">
        <v>117</v>
      </c>
      <c r="D13" s="424">
        <v>822339</v>
      </c>
      <c r="E13" s="424">
        <v>494346</v>
      </c>
      <c r="F13" s="424">
        <f t="shared" si="0"/>
        <v>327993</v>
      </c>
    </row>
    <row r="14" spans="1:6" ht="12.75" hidden="1">
      <c r="A14" s="421" t="s">
        <v>397</v>
      </c>
      <c r="B14" s="421" t="s">
        <v>398</v>
      </c>
      <c r="C14" s="421" t="s">
        <v>117</v>
      </c>
      <c r="D14" s="424">
        <v>60261</v>
      </c>
      <c r="E14" s="424">
        <v>63619</v>
      </c>
      <c r="F14" s="424">
        <f t="shared" si="0"/>
        <v>-3358</v>
      </c>
    </row>
    <row r="15" spans="1:6" ht="12.75" hidden="1">
      <c r="A15" s="421" t="s">
        <v>399</v>
      </c>
      <c r="B15" s="421" t="s">
        <v>400</v>
      </c>
      <c r="C15" s="421" t="s">
        <v>117</v>
      </c>
      <c r="D15" s="424">
        <v>532037</v>
      </c>
      <c r="E15" s="424">
        <v>348281</v>
      </c>
      <c r="F15" s="424">
        <f t="shared" si="0"/>
        <v>183756</v>
      </c>
    </row>
    <row r="16" spans="1:6" ht="12.75" hidden="1">
      <c r="A16" s="421" t="s">
        <v>401</v>
      </c>
      <c r="B16" s="421" t="s">
        <v>402</v>
      </c>
      <c r="C16" s="421" t="s">
        <v>117</v>
      </c>
      <c r="D16" s="424">
        <v>112563</v>
      </c>
      <c r="E16" s="424">
        <v>25440</v>
      </c>
      <c r="F16" s="424">
        <f t="shared" si="0"/>
        <v>87123</v>
      </c>
    </row>
    <row r="17" spans="1:6" ht="12.75" hidden="1">
      <c r="A17" s="421" t="s">
        <v>403</v>
      </c>
      <c r="B17" s="421" t="s">
        <v>404</v>
      </c>
      <c r="C17" s="421" t="s">
        <v>117</v>
      </c>
      <c r="D17" s="424">
        <v>94828</v>
      </c>
      <c r="E17" s="424">
        <v>30642</v>
      </c>
      <c r="F17" s="424">
        <f t="shared" si="0"/>
        <v>64186</v>
      </c>
    </row>
    <row r="18" spans="1:6" ht="12.75" hidden="1">
      <c r="A18" s="421" t="s">
        <v>405</v>
      </c>
      <c r="B18" s="421" t="s">
        <v>406</v>
      </c>
      <c r="C18" s="421" t="s">
        <v>117</v>
      </c>
      <c r="D18" s="424">
        <v>13512</v>
      </c>
      <c r="E18" s="424">
        <v>2885</v>
      </c>
      <c r="F18" s="424">
        <f t="shared" si="0"/>
        <v>10627</v>
      </c>
    </row>
    <row r="19" spans="1:6" ht="12.75" hidden="1">
      <c r="A19" s="421" t="s">
        <v>407</v>
      </c>
      <c r="B19" s="421" t="s">
        <v>408</v>
      </c>
      <c r="C19" s="421" t="s">
        <v>117</v>
      </c>
      <c r="D19" s="424">
        <v>6408887</v>
      </c>
      <c r="E19" s="424">
        <v>2492298</v>
      </c>
      <c r="F19" s="424">
        <f t="shared" si="0"/>
        <v>3916589</v>
      </c>
    </row>
    <row r="20" spans="1:6" ht="12.75" hidden="1">
      <c r="A20" s="421" t="s">
        <v>409</v>
      </c>
      <c r="B20" s="421" t="s">
        <v>410</v>
      </c>
      <c r="C20" s="421" t="s">
        <v>117</v>
      </c>
      <c r="D20" s="424">
        <v>3475450</v>
      </c>
      <c r="E20" s="424">
        <v>1649825</v>
      </c>
      <c r="F20" s="424">
        <f t="shared" si="0"/>
        <v>1825625</v>
      </c>
    </row>
    <row r="21" spans="1:6" ht="12.75">
      <c r="A21" s="421"/>
      <c r="B21" s="115" t="s">
        <v>260</v>
      </c>
      <c r="C21" s="421"/>
      <c r="D21" s="425"/>
      <c r="E21" s="425"/>
      <c r="F21" s="426">
        <v>4280053</v>
      </c>
    </row>
    <row r="22" spans="1:6" ht="12.75">
      <c r="A22" s="421"/>
      <c r="B22" s="421"/>
      <c r="C22" s="421"/>
      <c r="D22" s="425"/>
      <c r="E22" s="425"/>
      <c r="F22" s="425"/>
    </row>
    <row r="23" spans="1:6" ht="12.75" hidden="1">
      <c r="A23" s="421" t="s">
        <v>332</v>
      </c>
      <c r="B23" s="421" t="s">
        <v>411</v>
      </c>
      <c r="C23" s="421" t="s">
        <v>116</v>
      </c>
      <c r="D23" s="424">
        <v>65550824</v>
      </c>
      <c r="E23" s="424">
        <v>66043296</v>
      </c>
      <c r="F23" s="424">
        <f aca="true" t="shared" si="1" ref="F23:F29">D23-E23</f>
        <v>-492472</v>
      </c>
    </row>
    <row r="24" spans="1:6" ht="12.75" hidden="1">
      <c r="A24" s="421" t="s">
        <v>412</v>
      </c>
      <c r="B24" s="421" t="s">
        <v>413</v>
      </c>
      <c r="C24" s="421" t="s">
        <v>116</v>
      </c>
      <c r="D24" s="424">
        <v>15374320</v>
      </c>
      <c r="E24" s="424">
        <v>9388285</v>
      </c>
      <c r="F24" s="424">
        <f t="shared" si="1"/>
        <v>5986035</v>
      </c>
    </row>
    <row r="25" spans="1:6" ht="12.75" hidden="1">
      <c r="A25" s="421" t="s">
        <v>414</v>
      </c>
      <c r="B25" s="421" t="s">
        <v>415</v>
      </c>
      <c r="C25" s="421" t="s">
        <v>116</v>
      </c>
      <c r="D25" s="424">
        <v>25191673</v>
      </c>
      <c r="E25" s="424">
        <v>12235393</v>
      </c>
      <c r="F25" s="424">
        <f t="shared" si="1"/>
        <v>12956280</v>
      </c>
    </row>
    <row r="26" spans="1:6" ht="12.75" hidden="1">
      <c r="A26" s="421" t="s">
        <v>416</v>
      </c>
      <c r="B26" s="421" t="s">
        <v>417</v>
      </c>
      <c r="C26" s="421" t="s">
        <v>116</v>
      </c>
      <c r="D26" s="424">
        <v>14003908</v>
      </c>
      <c r="E26" s="424">
        <v>11064178</v>
      </c>
      <c r="F26" s="424">
        <f t="shared" si="1"/>
        <v>2939730</v>
      </c>
    </row>
    <row r="27" spans="1:6" ht="12.75" hidden="1">
      <c r="A27" s="421" t="s">
        <v>418</v>
      </c>
      <c r="B27" s="421" t="s">
        <v>419</v>
      </c>
      <c r="C27" s="421" t="s">
        <v>116</v>
      </c>
      <c r="D27" s="424">
        <v>465680</v>
      </c>
      <c r="E27" s="424">
        <v>2097087</v>
      </c>
      <c r="F27" s="424">
        <f t="shared" si="1"/>
        <v>-1631407</v>
      </c>
    </row>
    <row r="28" spans="1:6" ht="12.75" hidden="1">
      <c r="A28" s="421" t="s">
        <v>420</v>
      </c>
      <c r="B28" s="421" t="s">
        <v>421</v>
      </c>
      <c r="C28" s="421" t="s">
        <v>116</v>
      </c>
      <c r="D28" s="424">
        <v>2375502</v>
      </c>
      <c r="E28" s="424">
        <v>5641228</v>
      </c>
      <c r="F28" s="424">
        <f t="shared" si="1"/>
        <v>-3265726</v>
      </c>
    </row>
    <row r="29" spans="1:6" ht="12.75" hidden="1">
      <c r="A29" s="421" t="s">
        <v>422</v>
      </c>
      <c r="B29" s="421" t="s">
        <v>423</v>
      </c>
      <c r="C29" s="421" t="s">
        <v>116</v>
      </c>
      <c r="D29" s="424">
        <v>12898233</v>
      </c>
      <c r="E29" s="424">
        <v>15314144</v>
      </c>
      <c r="F29" s="424">
        <f t="shared" si="1"/>
        <v>-2415911</v>
      </c>
    </row>
    <row r="30" spans="1:6" ht="12.75">
      <c r="A30" s="421"/>
      <c r="B30" s="115" t="s">
        <v>261</v>
      </c>
      <c r="C30" s="421"/>
      <c r="D30" s="425"/>
      <c r="E30" s="425"/>
      <c r="F30" s="426">
        <v>5451297</v>
      </c>
    </row>
    <row r="31" spans="1:6" ht="12.75">
      <c r="A31" s="421"/>
      <c r="B31" s="421"/>
      <c r="C31" s="421"/>
      <c r="D31" s="425"/>
      <c r="E31" s="425"/>
      <c r="F31" s="425"/>
    </row>
    <row r="32" spans="1:6" ht="12.75">
      <c r="A32" s="421"/>
      <c r="B32" s="115" t="s">
        <v>262</v>
      </c>
      <c r="C32" s="421"/>
      <c r="D32" s="425"/>
      <c r="E32" s="425"/>
      <c r="F32" s="427">
        <f>F9+F21+F30</f>
        <v>10000000</v>
      </c>
    </row>
    <row r="33" spans="4:5" ht="12.75">
      <c r="D33" s="428"/>
      <c r="E33" s="428"/>
    </row>
    <row r="34" spans="4:5" ht="12.75">
      <c r="D34" s="428"/>
      <c r="E34" s="428"/>
    </row>
    <row r="35" spans="4:5" ht="12.75">
      <c r="D35" s="428"/>
      <c r="E35" s="428"/>
    </row>
    <row r="36" spans="1:5" ht="12.75">
      <c r="A36" s="429"/>
      <c r="D36" s="428"/>
      <c r="E36" s="428"/>
    </row>
    <row r="39" ht="12.75">
      <c r="A39" s="430" t="s">
        <v>282</v>
      </c>
    </row>
    <row r="40" ht="12.75">
      <c r="A40" s="431" t="s">
        <v>383</v>
      </c>
    </row>
    <row r="41" ht="12.75">
      <c r="A41" s="421" t="s">
        <v>388</v>
      </c>
    </row>
  </sheetData>
  <sheetProtection password="EE05" sheet="1" objects="1" scenarios="1"/>
  <mergeCells count="1">
    <mergeCell ref="D6:F6"/>
  </mergeCells>
  <printOptions/>
  <pageMargins left="0.7" right="0.7" top="0.31" bottom="0.38" header="0.3" footer="0.17"/>
  <pageSetup fitToHeight="0" fitToWidth="1" horizontalDpi="600" verticalDpi="600" orientation="landscape" scale="83"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2016-03-04T19:06:40Z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DocAve Service Account</vt:lpwstr>
  </property>
  <property fmtid="{D5CDD505-2E9C-101B-9397-08002B2CF9AE}" pid="4" name="display_urn:schemas-microsoft-com:office:office#Auth">
    <vt:lpwstr>DocAve Service Account</vt:lpwstr>
  </property>
  <property fmtid="{D5CDD505-2E9C-101B-9397-08002B2CF9AE}" pid="5" name="Ord">
    <vt:lpwstr>84600.0000000000</vt:lpwstr>
  </property>
</Properties>
</file>